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9040" windowHeight="15840" activeTab="1"/>
  </bookViews>
  <sheets>
    <sheet name="はじめに（お読みください）" sheetId="111" r:id="rId1"/>
    <sheet name="共通条件・結果" sheetId="97" r:id="rId2"/>
    <sheet name="Ａ（北）" sheetId="92" r:id="rId3"/>
    <sheet name="Ａ（北東）" sheetId="102" r:id="rId4"/>
    <sheet name="Ａ（東）" sheetId="103" r:id="rId5"/>
    <sheet name="Ａ（南東）" sheetId="104" r:id="rId6"/>
    <sheet name="Ａ（南）" sheetId="105" r:id="rId7"/>
    <sheet name="Ａ（南西）" sheetId="106" r:id="rId8"/>
    <sheet name="Ａ（西）" sheetId="107" r:id="rId9"/>
    <sheet name="Ａ（北西）" sheetId="108" r:id="rId10"/>
    <sheet name="Ｂ（屋根・床等）" sheetId="110" r:id="rId11"/>
    <sheet name="Ｃ（基礎）" sheetId="109" r:id="rId12"/>
    <sheet name="更新履歴" sheetId="101" r:id="rId13"/>
  </sheets>
  <definedNames>
    <definedName name="_xlnm.Print_Area" localSheetId="8">'Ａ（西）'!$B$2:$AA$44</definedName>
    <definedName name="_xlnm.Print_Area" localSheetId="4">'Ａ（東）'!$B$2:$AA$44</definedName>
    <definedName name="_xlnm.Print_Area" localSheetId="6">'Ａ（南）'!$B$2:$AA$44</definedName>
    <definedName name="_xlnm.Print_Area" localSheetId="7">'Ａ（南西）'!$B$2:$AA$44</definedName>
    <definedName name="_xlnm.Print_Area" localSheetId="5">'Ａ（南東）'!$B$2:$AA$44</definedName>
    <definedName name="_xlnm.Print_Area" localSheetId="2">'Ａ（北）'!$B$2:$AA$44</definedName>
    <definedName name="_xlnm.Print_Area" localSheetId="9">'Ａ（北西）'!$B$2:$AA$44</definedName>
    <definedName name="_xlnm.Print_Area" localSheetId="3">'Ａ（北東）'!$B$2:$AA$44</definedName>
    <definedName name="_xlnm.Print_Area" localSheetId="10">'Ｂ（屋根・床等）'!$B$2:$AA$33</definedName>
    <definedName name="_xlnm.Print_Area" localSheetId="11">'Ｃ（基礎）'!$B$2:$AC$43</definedName>
    <definedName name="_xlnm.Print_Area" localSheetId="0">'はじめに（お読みください）'!$A$1:$B$8</definedName>
    <definedName name="_xlnm.Print_Area" localSheetId="1">共通条件・結果!$B$2:$AC$28</definedName>
    <definedName name="_xlnm.Print_Area" localSheetId="12">更新履歴!$B$2:$I$42</definedName>
  </definedNames>
  <calcPr calcId="114210"/>
</workbook>
</file>

<file path=xl/calcChain.xml><?xml version="1.0" encoding="utf-8"?>
<calcChain xmlns="http://schemas.openxmlformats.org/spreadsheetml/2006/main">
  <c r="Q41" i="107"/>
  <c r="P33" i="105"/>
  <c r="P34"/>
  <c r="P35"/>
  <c r="P36"/>
  <c r="Y41"/>
  <c r="Q41"/>
  <c r="L41"/>
  <c r="P37"/>
  <c r="U41" i="108"/>
  <c r="Q41"/>
  <c r="U41" i="107"/>
  <c r="U41" i="106"/>
  <c r="Q41"/>
  <c r="U41" i="105"/>
  <c r="U41" i="104"/>
  <c r="Q41"/>
  <c r="U41" i="103"/>
  <c r="Q41"/>
  <c r="U41" i="102"/>
  <c r="Q41"/>
  <c r="U41" i="92"/>
  <c r="Q41"/>
  <c r="AF35" i="108"/>
  <c r="AE35"/>
  <c r="AF34"/>
  <c r="AE34"/>
  <c r="P34"/>
  <c r="Z34"/>
  <c r="P35"/>
  <c r="Z35"/>
  <c r="AO26"/>
  <c r="AN26"/>
  <c r="Z26"/>
  <c r="AO13"/>
  <c r="AN13"/>
  <c r="Z13"/>
  <c r="AL13"/>
  <c r="AI13"/>
  <c r="AK13"/>
  <c r="AH13"/>
  <c r="V4"/>
  <c r="AD13"/>
  <c r="AO12"/>
  <c r="AN12"/>
  <c r="Z12"/>
  <c r="AL12"/>
  <c r="AI12"/>
  <c r="AK12"/>
  <c r="AH12"/>
  <c r="AF35" i="107"/>
  <c r="AE35"/>
  <c r="AF34"/>
  <c r="AE34"/>
  <c r="P35"/>
  <c r="Z35"/>
  <c r="P34"/>
  <c r="Z34"/>
  <c r="V4"/>
  <c r="V34"/>
  <c r="AO26"/>
  <c r="AN26"/>
  <c r="Z26"/>
  <c r="AO13"/>
  <c r="AN13"/>
  <c r="Z13"/>
  <c r="AL13"/>
  <c r="AI13"/>
  <c r="AK13"/>
  <c r="AH13"/>
  <c r="AO12"/>
  <c r="AN12"/>
  <c r="Z12"/>
  <c r="AL12"/>
  <c r="AI12"/>
  <c r="AK12"/>
  <c r="AH12"/>
  <c r="AF35" i="106"/>
  <c r="AE35"/>
  <c r="AF34"/>
  <c r="AE34"/>
  <c r="P35"/>
  <c r="Z35"/>
  <c r="P34"/>
  <c r="Z34"/>
  <c r="Z38"/>
  <c r="AO26"/>
  <c r="AN26"/>
  <c r="Z26"/>
  <c r="AO13"/>
  <c r="AN13"/>
  <c r="Z13"/>
  <c r="AL13"/>
  <c r="AI13"/>
  <c r="AK13"/>
  <c r="AH13"/>
  <c r="AO12"/>
  <c r="AN12"/>
  <c r="Z12"/>
  <c r="AL12"/>
  <c r="AI12"/>
  <c r="AK12"/>
  <c r="AH12"/>
  <c r="AF35" i="105"/>
  <c r="AE35"/>
  <c r="AF34"/>
  <c r="AE34"/>
  <c r="Z35"/>
  <c r="Z34"/>
  <c r="AO26"/>
  <c r="AN26"/>
  <c r="Z26"/>
  <c r="AO13"/>
  <c r="AN13"/>
  <c r="Z13"/>
  <c r="AL13"/>
  <c r="AI13"/>
  <c r="AK13"/>
  <c r="AH13"/>
  <c r="AO12"/>
  <c r="AN12"/>
  <c r="Z12"/>
  <c r="AL12"/>
  <c r="AI12"/>
  <c r="AK12"/>
  <c r="AH12"/>
  <c r="P35" i="103"/>
  <c r="P34"/>
  <c r="V4"/>
  <c r="V34"/>
  <c r="AF35" i="104"/>
  <c r="AE35"/>
  <c r="AF34"/>
  <c r="AE34"/>
  <c r="P35"/>
  <c r="Z35"/>
  <c r="Z38"/>
  <c r="P34"/>
  <c r="Z34"/>
  <c r="AO26"/>
  <c r="AN26"/>
  <c r="Z26"/>
  <c r="AO13"/>
  <c r="AN13"/>
  <c r="Z13"/>
  <c r="AL13"/>
  <c r="AI13"/>
  <c r="AK13"/>
  <c r="AH13"/>
  <c r="AO12"/>
  <c r="AN12"/>
  <c r="Z12"/>
  <c r="AL12"/>
  <c r="AI12"/>
  <c r="AK12"/>
  <c r="AH12"/>
  <c r="AF35" i="103"/>
  <c r="AE35"/>
  <c r="AF34"/>
  <c r="AE34"/>
  <c r="Z35"/>
  <c r="V35"/>
  <c r="Z34"/>
  <c r="AO26"/>
  <c r="AN26"/>
  <c r="Z26"/>
  <c r="AO13"/>
  <c r="AN13"/>
  <c r="Z13"/>
  <c r="AL13"/>
  <c r="AI13"/>
  <c r="AK13"/>
  <c r="AH13"/>
  <c r="AO12"/>
  <c r="AN12"/>
  <c r="Z12"/>
  <c r="AL12"/>
  <c r="AI12"/>
  <c r="AK12"/>
  <c r="AH12"/>
  <c r="AF35" i="102"/>
  <c r="AE35"/>
  <c r="AF34"/>
  <c r="AE34"/>
  <c r="P35"/>
  <c r="V35"/>
  <c r="Z35"/>
  <c r="P34"/>
  <c r="Z34"/>
  <c r="V34"/>
  <c r="AO26"/>
  <c r="AN26"/>
  <c r="Z26"/>
  <c r="AO13"/>
  <c r="AN13"/>
  <c r="Z13"/>
  <c r="AL13"/>
  <c r="AI13"/>
  <c r="AK13"/>
  <c r="AH13"/>
  <c r="AO12"/>
  <c r="AN12"/>
  <c r="Z12"/>
  <c r="AL12"/>
  <c r="AI12"/>
  <c r="AK12"/>
  <c r="AH12"/>
  <c r="AF35" i="92"/>
  <c r="AE35"/>
  <c r="P35"/>
  <c r="Z35"/>
  <c r="AF34"/>
  <c r="AE34"/>
  <c r="P34"/>
  <c r="V4"/>
  <c r="V34"/>
  <c r="V35" i="107"/>
  <c r="Z34" i="92"/>
  <c r="AO13"/>
  <c r="AN13"/>
  <c r="Z13"/>
  <c r="AL13"/>
  <c r="AI13"/>
  <c r="AK13"/>
  <c r="AH13"/>
  <c r="AO26"/>
  <c r="AN26"/>
  <c r="Z26"/>
  <c r="AO27"/>
  <c r="AN27"/>
  <c r="AO12"/>
  <c r="AN12"/>
  <c r="Z12"/>
  <c r="AL12"/>
  <c r="AI12"/>
  <c r="AK12"/>
  <c r="AH12"/>
  <c r="X4" i="108"/>
  <c r="AE19"/>
  <c r="P33"/>
  <c r="X33"/>
  <c r="X4" i="107"/>
  <c r="AE13"/>
  <c r="P33"/>
  <c r="X33"/>
  <c r="X4" i="106"/>
  <c r="AL8"/>
  <c r="AI8"/>
  <c r="AE8"/>
  <c r="X4" i="105"/>
  <c r="AE13"/>
  <c r="X36"/>
  <c r="AL8"/>
  <c r="AI8"/>
  <c r="X4" i="104"/>
  <c r="AE13"/>
  <c r="X27"/>
  <c r="AL8"/>
  <c r="AI8"/>
  <c r="X4" i="103"/>
  <c r="AE11"/>
  <c r="AL11"/>
  <c r="AI11"/>
  <c r="X11"/>
  <c r="AL9" i="102"/>
  <c r="AI9"/>
  <c r="X4"/>
  <c r="AE9"/>
  <c r="AL19"/>
  <c r="AI19"/>
  <c r="X19"/>
  <c r="AL8"/>
  <c r="AI8"/>
  <c r="AL9" i="92"/>
  <c r="AI9"/>
  <c r="X4"/>
  <c r="AE12"/>
  <c r="X27"/>
  <c r="P33"/>
  <c r="Z23" i="109"/>
  <c r="Z22"/>
  <c r="Z21"/>
  <c r="Z20"/>
  <c r="Z19"/>
  <c r="AH19"/>
  <c r="AE23"/>
  <c r="AH23"/>
  <c r="AE21"/>
  <c r="AG21"/>
  <c r="AH21"/>
  <c r="AH20"/>
  <c r="AE20"/>
  <c r="D34"/>
  <c r="B34"/>
  <c r="D33"/>
  <c r="B33"/>
  <c r="D32"/>
  <c r="B32"/>
  <c r="D31"/>
  <c r="B31"/>
  <c r="D30"/>
  <c r="B30"/>
  <c r="AK23"/>
  <c r="AJ23"/>
  <c r="D23"/>
  <c r="B23"/>
  <c r="AK22"/>
  <c r="AJ22"/>
  <c r="AH22"/>
  <c r="AE22"/>
  <c r="AG22"/>
  <c r="D22"/>
  <c r="B22"/>
  <c r="AK21"/>
  <c r="AI21"/>
  <c r="AJ21"/>
  <c r="D21"/>
  <c r="B21"/>
  <c r="AK20"/>
  <c r="AJ20"/>
  <c r="D20"/>
  <c r="B20"/>
  <c r="AK19"/>
  <c r="AJ19"/>
  <c r="AI19"/>
  <c r="AE19"/>
  <c r="D19"/>
  <c r="B19"/>
  <c r="H12"/>
  <c r="T30" i="110"/>
  <c r="AD24"/>
  <c r="P24"/>
  <c r="N24"/>
  <c r="J24"/>
  <c r="R24"/>
  <c r="AD23"/>
  <c r="P23"/>
  <c r="N23"/>
  <c r="J23"/>
  <c r="R23"/>
  <c r="AD22"/>
  <c r="P22"/>
  <c r="J22"/>
  <c r="R22"/>
  <c r="AD21"/>
  <c r="J21"/>
  <c r="R21"/>
  <c r="P21"/>
  <c r="N21"/>
  <c r="AD20"/>
  <c r="P20"/>
  <c r="N20"/>
  <c r="J20"/>
  <c r="R20"/>
  <c r="AD19"/>
  <c r="P19"/>
  <c r="J19"/>
  <c r="R19"/>
  <c r="AD18"/>
  <c r="J18"/>
  <c r="P18"/>
  <c r="N18"/>
  <c r="AD17"/>
  <c r="J17"/>
  <c r="N17"/>
  <c r="P17"/>
  <c r="AH11"/>
  <c r="P11"/>
  <c r="AG11"/>
  <c r="N11"/>
  <c r="AE11"/>
  <c r="AD11"/>
  <c r="R11"/>
  <c r="AH10"/>
  <c r="P10"/>
  <c r="AG10"/>
  <c r="N10"/>
  <c r="AE10"/>
  <c r="AD10"/>
  <c r="R10"/>
  <c r="AH9"/>
  <c r="P9"/>
  <c r="AG9"/>
  <c r="N9"/>
  <c r="N7"/>
  <c r="N8"/>
  <c r="N12"/>
  <c r="N25"/>
  <c r="W31"/>
  <c r="AE9"/>
  <c r="AD9"/>
  <c r="R9"/>
  <c r="AH8"/>
  <c r="P8"/>
  <c r="AG8"/>
  <c r="AE8"/>
  <c r="AD8"/>
  <c r="R8"/>
  <c r="AH7"/>
  <c r="P7"/>
  <c r="P12"/>
  <c r="AG7"/>
  <c r="AE7"/>
  <c r="AD7"/>
  <c r="R7"/>
  <c r="AF37" i="108"/>
  <c r="AE37"/>
  <c r="P37"/>
  <c r="Z37"/>
  <c r="AF36"/>
  <c r="AE36"/>
  <c r="P36"/>
  <c r="Z36"/>
  <c r="AF33"/>
  <c r="AE33"/>
  <c r="Z33"/>
  <c r="AD9"/>
  <c r="AK9"/>
  <c r="AH9"/>
  <c r="V9"/>
  <c r="AO27"/>
  <c r="AN27"/>
  <c r="Z27"/>
  <c r="Z25"/>
  <c r="Z28"/>
  <c r="AO25"/>
  <c r="AN25"/>
  <c r="AO19"/>
  <c r="AN19"/>
  <c r="Z19"/>
  <c r="AL19"/>
  <c r="AI19"/>
  <c r="AK19"/>
  <c r="AH19"/>
  <c r="AO18"/>
  <c r="AN18"/>
  <c r="Z18"/>
  <c r="AL18"/>
  <c r="AI18"/>
  <c r="AK18"/>
  <c r="AH18"/>
  <c r="AO17"/>
  <c r="AN17"/>
  <c r="Z17"/>
  <c r="AL17"/>
  <c r="AI17"/>
  <c r="AK17"/>
  <c r="AH17"/>
  <c r="AD17"/>
  <c r="AO16"/>
  <c r="AN16"/>
  <c r="Z16"/>
  <c r="AL16"/>
  <c r="AI16"/>
  <c r="AK16"/>
  <c r="AH16"/>
  <c r="AO15"/>
  <c r="AN15"/>
  <c r="Z15"/>
  <c r="AL15"/>
  <c r="AI15"/>
  <c r="AK15"/>
  <c r="AH15"/>
  <c r="AO14"/>
  <c r="AN14"/>
  <c r="Z14"/>
  <c r="AL14"/>
  <c r="AI14"/>
  <c r="AK14"/>
  <c r="AH14"/>
  <c r="AO11"/>
  <c r="AN11"/>
  <c r="Z11"/>
  <c r="AL11"/>
  <c r="AI11"/>
  <c r="AK11"/>
  <c r="AH11"/>
  <c r="AO10"/>
  <c r="AN10"/>
  <c r="Z10"/>
  <c r="AL10"/>
  <c r="AI10"/>
  <c r="AK10"/>
  <c r="AH10"/>
  <c r="AO9"/>
  <c r="AN9"/>
  <c r="Z9"/>
  <c r="AL9"/>
  <c r="AI9"/>
  <c r="AO8"/>
  <c r="AN8"/>
  <c r="Z8"/>
  <c r="AL8"/>
  <c r="AK8"/>
  <c r="AH8"/>
  <c r="AI8"/>
  <c r="Z33" i="107"/>
  <c r="AF37"/>
  <c r="AE37"/>
  <c r="P37"/>
  <c r="Z37"/>
  <c r="AF36"/>
  <c r="AE36"/>
  <c r="P36"/>
  <c r="Z36"/>
  <c r="AF33"/>
  <c r="AE33"/>
  <c r="AD12"/>
  <c r="V37"/>
  <c r="AO27"/>
  <c r="AN27"/>
  <c r="Z27"/>
  <c r="AO25"/>
  <c r="AN25"/>
  <c r="Z25"/>
  <c r="AO19"/>
  <c r="AN19"/>
  <c r="Z19"/>
  <c r="AL19"/>
  <c r="AI19"/>
  <c r="AE19"/>
  <c r="AK19"/>
  <c r="AH19"/>
  <c r="AO18"/>
  <c r="AN18"/>
  <c r="Z18"/>
  <c r="AL18"/>
  <c r="AI18"/>
  <c r="AK18"/>
  <c r="AH18"/>
  <c r="AO17"/>
  <c r="AN17"/>
  <c r="Z17"/>
  <c r="AL17"/>
  <c r="AI17"/>
  <c r="AE17"/>
  <c r="AK17"/>
  <c r="AH17"/>
  <c r="AO16"/>
  <c r="AN16"/>
  <c r="Z16"/>
  <c r="AL16"/>
  <c r="AI16"/>
  <c r="AE16"/>
  <c r="AK16"/>
  <c r="AH16"/>
  <c r="AO15"/>
  <c r="AN15"/>
  <c r="Z15"/>
  <c r="AL15"/>
  <c r="AI15"/>
  <c r="AK15"/>
  <c r="AH15"/>
  <c r="AO14"/>
  <c r="AN14"/>
  <c r="Z14"/>
  <c r="AL14"/>
  <c r="AI14"/>
  <c r="AK14"/>
  <c r="AH14"/>
  <c r="AO11"/>
  <c r="AN11"/>
  <c r="Z11"/>
  <c r="AL11"/>
  <c r="AI11"/>
  <c r="AE11"/>
  <c r="AK11"/>
  <c r="AH11"/>
  <c r="AO10"/>
  <c r="AN10"/>
  <c r="Z10"/>
  <c r="AL10"/>
  <c r="AI10"/>
  <c r="AK10"/>
  <c r="AH10"/>
  <c r="AO9"/>
  <c r="AN9"/>
  <c r="Z9"/>
  <c r="AL9"/>
  <c r="AI9"/>
  <c r="AK9"/>
  <c r="AH9"/>
  <c r="AO8"/>
  <c r="AN8"/>
  <c r="Z8"/>
  <c r="AL8"/>
  <c r="AI8"/>
  <c r="AE8"/>
  <c r="AK8"/>
  <c r="AH8"/>
  <c r="P33" i="106"/>
  <c r="AF37"/>
  <c r="AE37"/>
  <c r="P37"/>
  <c r="Z37"/>
  <c r="AF36"/>
  <c r="AE36"/>
  <c r="P36"/>
  <c r="Z36"/>
  <c r="AF33"/>
  <c r="AE33"/>
  <c r="Z33"/>
  <c r="V4"/>
  <c r="V27"/>
  <c r="AO27"/>
  <c r="AN27"/>
  <c r="Z27"/>
  <c r="AO25"/>
  <c r="AN25"/>
  <c r="Z25"/>
  <c r="AO19"/>
  <c r="AN19"/>
  <c r="Z19"/>
  <c r="AL19"/>
  <c r="AI19"/>
  <c r="AK19"/>
  <c r="AH19"/>
  <c r="AO18"/>
  <c r="AN18"/>
  <c r="Z18"/>
  <c r="AL18"/>
  <c r="AI18"/>
  <c r="AK18"/>
  <c r="AH18"/>
  <c r="AO17"/>
  <c r="AN17"/>
  <c r="Z17"/>
  <c r="AL17"/>
  <c r="AI17"/>
  <c r="AK17"/>
  <c r="AH17"/>
  <c r="AO16"/>
  <c r="AN16"/>
  <c r="Z16"/>
  <c r="AL16"/>
  <c r="AI16"/>
  <c r="AK16"/>
  <c r="AH16"/>
  <c r="AO15"/>
  <c r="AN15"/>
  <c r="AL15"/>
  <c r="AI15"/>
  <c r="AK15"/>
  <c r="AH15"/>
  <c r="Z15"/>
  <c r="AO14"/>
  <c r="AN14"/>
  <c r="Z14"/>
  <c r="AL14"/>
  <c r="AI14"/>
  <c r="AK14"/>
  <c r="AH14"/>
  <c r="AO11"/>
  <c r="AN11"/>
  <c r="Z11"/>
  <c r="AL11"/>
  <c r="AI11"/>
  <c r="AK11"/>
  <c r="AH11"/>
  <c r="AO10"/>
  <c r="AN10"/>
  <c r="Z10"/>
  <c r="AL10"/>
  <c r="AI10"/>
  <c r="AK10"/>
  <c r="AH10"/>
  <c r="AO9"/>
  <c r="AN9"/>
  <c r="Z9"/>
  <c r="AL9"/>
  <c r="AI9"/>
  <c r="AK9"/>
  <c r="AH9"/>
  <c r="AO8"/>
  <c r="AN8"/>
  <c r="AK8"/>
  <c r="AH8"/>
  <c r="Z8"/>
  <c r="Z33" i="105"/>
  <c r="AF37"/>
  <c r="AE37"/>
  <c r="Z37"/>
  <c r="Z36"/>
  <c r="Z38"/>
  <c r="AF36"/>
  <c r="AE36"/>
  <c r="AF33"/>
  <c r="AE33"/>
  <c r="V4"/>
  <c r="V27"/>
  <c r="AO27"/>
  <c r="AN27"/>
  <c r="Z27"/>
  <c r="AO25"/>
  <c r="AN25"/>
  <c r="Z25"/>
  <c r="AO19"/>
  <c r="AN19"/>
  <c r="Z19"/>
  <c r="AL19"/>
  <c r="AI19"/>
  <c r="AE19"/>
  <c r="AK19"/>
  <c r="AH19"/>
  <c r="AO18"/>
  <c r="AN18"/>
  <c r="Z18"/>
  <c r="AL18"/>
  <c r="AI18"/>
  <c r="AK18"/>
  <c r="AH18"/>
  <c r="AO17"/>
  <c r="AN17"/>
  <c r="Z17"/>
  <c r="AL17"/>
  <c r="AK17"/>
  <c r="AH17"/>
  <c r="AI17"/>
  <c r="AO16"/>
  <c r="AN16"/>
  <c r="Z16"/>
  <c r="AL16"/>
  <c r="AK16"/>
  <c r="AH16"/>
  <c r="AI16"/>
  <c r="AO15"/>
  <c r="AN15"/>
  <c r="Z15"/>
  <c r="AL15"/>
  <c r="AK15"/>
  <c r="AH15"/>
  <c r="AI15"/>
  <c r="AO14"/>
  <c r="AN14"/>
  <c r="Z14"/>
  <c r="AL14"/>
  <c r="AI14"/>
  <c r="AK14"/>
  <c r="AH14"/>
  <c r="AO11"/>
  <c r="AN11"/>
  <c r="Z11"/>
  <c r="AL11"/>
  <c r="AI11"/>
  <c r="AK11"/>
  <c r="AH11"/>
  <c r="AO10"/>
  <c r="AN10"/>
  <c r="Z10"/>
  <c r="AL10"/>
  <c r="AI10"/>
  <c r="AE10"/>
  <c r="AK10"/>
  <c r="AH10"/>
  <c r="AO9"/>
  <c r="AN9"/>
  <c r="Z9"/>
  <c r="AL9"/>
  <c r="AK9"/>
  <c r="AH9"/>
  <c r="AI9"/>
  <c r="AO8"/>
  <c r="AN8"/>
  <c r="Z8"/>
  <c r="AK8"/>
  <c r="AH8"/>
  <c r="P33" i="104"/>
  <c r="AF37"/>
  <c r="AE37"/>
  <c r="P37"/>
  <c r="Z37"/>
  <c r="Z33"/>
  <c r="AF36"/>
  <c r="AE36"/>
  <c r="P36"/>
  <c r="Z36"/>
  <c r="AF33"/>
  <c r="AE33"/>
  <c r="V4"/>
  <c r="AO27"/>
  <c r="AN27"/>
  <c r="Z27"/>
  <c r="AO25"/>
  <c r="AN25"/>
  <c r="Z25"/>
  <c r="AO19"/>
  <c r="AN19"/>
  <c r="Z19"/>
  <c r="AL19"/>
  <c r="AK19"/>
  <c r="AH19"/>
  <c r="AI19"/>
  <c r="AO18"/>
  <c r="AN18"/>
  <c r="Z18"/>
  <c r="AL18"/>
  <c r="AI18"/>
  <c r="AK18"/>
  <c r="AH18"/>
  <c r="AO17"/>
  <c r="AN17"/>
  <c r="Z17"/>
  <c r="AL17"/>
  <c r="AI17"/>
  <c r="AK17"/>
  <c r="AH17"/>
  <c r="AO16"/>
  <c r="AN16"/>
  <c r="Z16"/>
  <c r="AL16"/>
  <c r="AI16"/>
  <c r="AK16"/>
  <c r="AH16"/>
  <c r="AO15"/>
  <c r="AN15"/>
  <c r="Z15"/>
  <c r="AL15"/>
  <c r="AK15"/>
  <c r="AH15"/>
  <c r="AI15"/>
  <c r="AO14"/>
  <c r="AN14"/>
  <c r="Z14"/>
  <c r="AL14"/>
  <c r="AI14"/>
  <c r="AE14"/>
  <c r="AK14"/>
  <c r="AH14"/>
  <c r="AD14"/>
  <c r="AO11"/>
  <c r="AN11"/>
  <c r="Z11"/>
  <c r="AL11"/>
  <c r="AI11"/>
  <c r="AK11"/>
  <c r="AH11"/>
  <c r="AD11"/>
  <c r="AO10"/>
  <c r="AN10"/>
  <c r="Z10"/>
  <c r="AL10"/>
  <c r="AI10"/>
  <c r="AK10"/>
  <c r="AH10"/>
  <c r="AO9"/>
  <c r="AN9"/>
  <c r="Z9"/>
  <c r="AL9"/>
  <c r="AI9"/>
  <c r="AK9"/>
  <c r="AH9"/>
  <c r="AO8"/>
  <c r="AN8"/>
  <c r="Z8"/>
  <c r="AK8"/>
  <c r="AH8"/>
  <c r="P33" i="103"/>
  <c r="P36"/>
  <c r="Y41"/>
  <c r="L41"/>
  <c r="AF37"/>
  <c r="AE37"/>
  <c r="P37"/>
  <c r="X37"/>
  <c r="Z37"/>
  <c r="AF36"/>
  <c r="AE36"/>
  <c r="Z36"/>
  <c r="Z33"/>
  <c r="Z38"/>
  <c r="AF33"/>
  <c r="AE33"/>
  <c r="AD13"/>
  <c r="V27"/>
  <c r="AO27"/>
  <c r="AN27"/>
  <c r="Z27"/>
  <c r="AO25"/>
  <c r="AN25"/>
  <c r="Z25"/>
  <c r="AO19"/>
  <c r="AN19"/>
  <c r="Z19"/>
  <c r="AL19"/>
  <c r="AI19"/>
  <c r="AK19"/>
  <c r="AH19"/>
  <c r="AO18"/>
  <c r="AN18"/>
  <c r="Z18"/>
  <c r="AL18"/>
  <c r="AI18"/>
  <c r="AE18"/>
  <c r="AK18"/>
  <c r="AH18"/>
  <c r="AO17"/>
  <c r="AN17"/>
  <c r="Z17"/>
  <c r="AL17"/>
  <c r="AI17"/>
  <c r="AK17"/>
  <c r="AH17"/>
  <c r="AO16"/>
  <c r="AN16"/>
  <c r="Z16"/>
  <c r="AL16"/>
  <c r="AI16"/>
  <c r="AK16"/>
  <c r="AH16"/>
  <c r="AO15"/>
  <c r="AN15"/>
  <c r="Z15"/>
  <c r="AL15"/>
  <c r="AI15"/>
  <c r="AK15"/>
  <c r="AH15"/>
  <c r="AO14"/>
  <c r="AN14"/>
  <c r="Z14"/>
  <c r="AL14"/>
  <c r="AI14"/>
  <c r="AE14"/>
  <c r="AK14"/>
  <c r="AH14"/>
  <c r="AO11"/>
  <c r="AN11"/>
  <c r="Z11"/>
  <c r="AK11"/>
  <c r="AH11"/>
  <c r="AO10"/>
  <c r="AN10"/>
  <c r="Z10"/>
  <c r="AL10"/>
  <c r="AK10"/>
  <c r="AH10"/>
  <c r="AI10"/>
  <c r="AO9"/>
  <c r="AN9"/>
  <c r="Z9"/>
  <c r="AL9"/>
  <c r="AI9"/>
  <c r="AK9"/>
  <c r="AH9"/>
  <c r="AO8"/>
  <c r="AN8"/>
  <c r="Z8"/>
  <c r="AL8"/>
  <c r="AI8"/>
  <c r="AK8"/>
  <c r="AH8"/>
  <c r="P33" i="102"/>
  <c r="P36"/>
  <c r="P37"/>
  <c r="Y41"/>
  <c r="AF37"/>
  <c r="AE37"/>
  <c r="Z37"/>
  <c r="AF36"/>
  <c r="AE36"/>
  <c r="Z36"/>
  <c r="Z33"/>
  <c r="Z38"/>
  <c r="AF33"/>
  <c r="AE33"/>
  <c r="V4"/>
  <c r="AD16"/>
  <c r="V36"/>
  <c r="AO27"/>
  <c r="AN27"/>
  <c r="Z27"/>
  <c r="AO25"/>
  <c r="AN25"/>
  <c r="Z25"/>
  <c r="AO19"/>
  <c r="AN19"/>
  <c r="Z19"/>
  <c r="AK19"/>
  <c r="AH19"/>
  <c r="AO18"/>
  <c r="AN18"/>
  <c r="Z18"/>
  <c r="AL18"/>
  <c r="AK18"/>
  <c r="AH18"/>
  <c r="AI18"/>
  <c r="AO17"/>
  <c r="AN17"/>
  <c r="Z17"/>
  <c r="AL17"/>
  <c r="AI17"/>
  <c r="AK17"/>
  <c r="AH17"/>
  <c r="AO16"/>
  <c r="AN16"/>
  <c r="Z16"/>
  <c r="AL16"/>
  <c r="AI16"/>
  <c r="AE16"/>
  <c r="AK16"/>
  <c r="AH16"/>
  <c r="AO15"/>
  <c r="AN15"/>
  <c r="Z15"/>
  <c r="AL15"/>
  <c r="AI15"/>
  <c r="AK15"/>
  <c r="AH15"/>
  <c r="AO14"/>
  <c r="AN14"/>
  <c r="Z14"/>
  <c r="AL14"/>
  <c r="AI14"/>
  <c r="AK14"/>
  <c r="AH14"/>
  <c r="AO11"/>
  <c r="AN11"/>
  <c r="Z11"/>
  <c r="AL11"/>
  <c r="AI11"/>
  <c r="AK11"/>
  <c r="AH11"/>
  <c r="AO10"/>
  <c r="AN10"/>
  <c r="Z10"/>
  <c r="AL10"/>
  <c r="AI10"/>
  <c r="AE10"/>
  <c r="AK10"/>
  <c r="AH10"/>
  <c r="AO9"/>
  <c r="AN9"/>
  <c r="Z9"/>
  <c r="AK9"/>
  <c r="AH9"/>
  <c r="AO8"/>
  <c r="AN8"/>
  <c r="Z8"/>
  <c r="AK8"/>
  <c r="AH8"/>
  <c r="AF37" i="92"/>
  <c r="AE37"/>
  <c r="P37"/>
  <c r="Z37"/>
  <c r="AF36"/>
  <c r="AE36"/>
  <c r="P36"/>
  <c r="Z36"/>
  <c r="AF33"/>
  <c r="AE33"/>
  <c r="Z27"/>
  <c r="Z25"/>
  <c r="Z28"/>
  <c r="AO25"/>
  <c r="AN25"/>
  <c r="AD13"/>
  <c r="V27"/>
  <c r="AO19"/>
  <c r="AN19"/>
  <c r="Z19"/>
  <c r="AL19"/>
  <c r="AI19"/>
  <c r="AK19"/>
  <c r="AH19"/>
  <c r="AO18"/>
  <c r="AN18"/>
  <c r="Z18"/>
  <c r="AL18"/>
  <c r="AI18"/>
  <c r="AK18"/>
  <c r="AH18"/>
  <c r="AO17"/>
  <c r="AN17"/>
  <c r="Z17"/>
  <c r="AL17"/>
  <c r="AI17"/>
  <c r="AK17"/>
  <c r="AH17"/>
  <c r="AO16"/>
  <c r="AN16"/>
  <c r="Z16"/>
  <c r="AL16"/>
  <c r="AI16"/>
  <c r="AK16"/>
  <c r="AH16"/>
  <c r="AO15"/>
  <c r="AN15"/>
  <c r="Z15"/>
  <c r="AL15"/>
  <c r="AI15"/>
  <c r="AK15"/>
  <c r="AH15"/>
  <c r="AO14"/>
  <c r="AN14"/>
  <c r="Z14"/>
  <c r="AL14"/>
  <c r="AI14"/>
  <c r="AK14"/>
  <c r="AH14"/>
  <c r="AO11"/>
  <c r="AN11"/>
  <c r="Z11"/>
  <c r="AL11"/>
  <c r="AI11"/>
  <c r="AK11"/>
  <c r="AH11"/>
  <c r="AO10"/>
  <c r="AN10"/>
  <c r="Z10"/>
  <c r="AL10"/>
  <c r="AI10"/>
  <c r="AK10"/>
  <c r="AH10"/>
  <c r="AO9"/>
  <c r="AN9"/>
  <c r="Z9"/>
  <c r="AK9"/>
  <c r="AH9"/>
  <c r="AO8"/>
  <c r="AN8"/>
  <c r="Z8"/>
  <c r="AL8"/>
  <c r="AI8"/>
  <c r="AK8"/>
  <c r="AH8"/>
  <c r="AL17" i="97"/>
  <c r="AK17"/>
  <c r="AJ17"/>
  <c r="AI17"/>
  <c r="AH17"/>
  <c r="O18"/>
  <c r="AG17"/>
  <c r="O17"/>
  <c r="AE10" i="103"/>
  <c r="X10"/>
  <c r="X11" i="107"/>
  <c r="X10" i="105"/>
  <c r="AI22" i="109"/>
  <c r="AB22"/>
  <c r="L33"/>
  <c r="AI20"/>
  <c r="AI23"/>
  <c r="AB21"/>
  <c r="L32"/>
  <c r="X11" i="108"/>
  <c r="X15"/>
  <c r="X15" i="102"/>
  <c r="X14" i="103"/>
  <c r="X18"/>
  <c r="X27"/>
  <c r="X33"/>
  <c r="X27" i="105"/>
  <c r="X14" i="108"/>
  <c r="X16"/>
  <c r="X17"/>
  <c r="X19" i="105"/>
  <c r="X17" i="103"/>
  <c r="X25"/>
  <c r="X19" i="108"/>
  <c r="X17" i="107"/>
  <c r="X14"/>
  <c r="V25" i="103"/>
  <c r="V14" i="108"/>
  <c r="AD9" i="105"/>
  <c r="V9"/>
  <c r="V19" i="108"/>
  <c r="V10" i="104"/>
  <c r="V27" i="108"/>
  <c r="X10" i="102"/>
  <c r="X16" i="103"/>
  <c r="X10" i="108"/>
  <c r="X18"/>
  <c r="X25"/>
  <c r="X27"/>
  <c r="X37"/>
  <c r="AE15" i="103"/>
  <c r="X15"/>
  <c r="X19"/>
  <c r="V16" i="104"/>
  <c r="X16" i="92"/>
  <c r="X36" i="102"/>
  <c r="X37"/>
  <c r="V8" i="108"/>
  <c r="X14" i="102"/>
  <c r="V27"/>
  <c r="AD8" i="103"/>
  <c r="V8"/>
  <c r="V16"/>
  <c r="AD10"/>
  <c r="V10"/>
  <c r="AE9" i="107"/>
  <c r="X9"/>
  <c r="AE10"/>
  <c r="X10"/>
  <c r="X19"/>
  <c r="V18" i="105"/>
  <c r="X37" i="107"/>
  <c r="V14" i="105"/>
  <c r="V16"/>
  <c r="X18" i="102"/>
  <c r="AE10" i="92"/>
  <c r="X10"/>
  <c r="V11" i="102"/>
  <c r="X16"/>
  <c r="X25"/>
  <c r="X27"/>
  <c r="X33"/>
  <c r="AD10" i="105"/>
  <c r="V10"/>
  <c r="V27" i="107"/>
  <c r="X11" i="102"/>
  <c r="X17"/>
  <c r="V19" i="103"/>
  <c r="X15" i="92"/>
  <c r="X19"/>
  <c r="AD9" i="103"/>
  <c r="V9"/>
  <c r="V15"/>
  <c r="V17" i="105"/>
  <c r="V19"/>
  <c r="V18" i="106"/>
  <c r="X16" i="107"/>
  <c r="X25"/>
  <c r="X26"/>
  <c r="X27"/>
  <c r="X28"/>
  <c r="AD11" i="108"/>
  <c r="V11"/>
  <c r="V16"/>
  <c r="V17"/>
  <c r="V18"/>
  <c r="X34" i="102"/>
  <c r="X26"/>
  <c r="X13"/>
  <c r="X12"/>
  <c r="X35"/>
  <c r="V33" i="106"/>
  <c r="V26"/>
  <c r="V34"/>
  <c r="V12"/>
  <c r="V35"/>
  <c r="V13"/>
  <c r="V36"/>
  <c r="V37"/>
  <c r="X35" i="92"/>
  <c r="X26"/>
  <c r="X26" i="104"/>
  <c r="X35"/>
  <c r="X13"/>
  <c r="AE12"/>
  <c r="X12"/>
  <c r="X34"/>
  <c r="X33" i="106"/>
  <c r="X26"/>
  <c r="X13"/>
  <c r="X35"/>
  <c r="X34"/>
  <c r="X12"/>
  <c r="AE11" i="92"/>
  <c r="X11"/>
  <c r="AE17"/>
  <c r="X17"/>
  <c r="V33" i="103"/>
  <c r="V26"/>
  <c r="V12"/>
  <c r="V13"/>
  <c r="X36" i="104"/>
  <c r="V33" i="105"/>
  <c r="V34"/>
  <c r="V26"/>
  <c r="V13"/>
  <c r="V35"/>
  <c r="V12"/>
  <c r="V36"/>
  <c r="V14" i="106"/>
  <c r="V25"/>
  <c r="X27"/>
  <c r="X37"/>
  <c r="V33" i="108"/>
  <c r="V26"/>
  <c r="V34"/>
  <c r="V35"/>
  <c r="V12"/>
  <c r="V13"/>
  <c r="X34" i="107"/>
  <c r="AE12"/>
  <c r="X12"/>
  <c r="X13"/>
  <c r="X35"/>
  <c r="AE14" i="92"/>
  <c r="X14"/>
  <c r="X18"/>
  <c r="V26"/>
  <c r="V35"/>
  <c r="X36"/>
  <c r="X37"/>
  <c r="V33" i="102"/>
  <c r="V26"/>
  <c r="V12"/>
  <c r="V13"/>
  <c r="V11" i="103"/>
  <c r="V14"/>
  <c r="V17"/>
  <c r="V18"/>
  <c r="V37"/>
  <c r="V33" i="104"/>
  <c r="V34"/>
  <c r="V26"/>
  <c r="V27"/>
  <c r="V13"/>
  <c r="V35"/>
  <c r="V12"/>
  <c r="V36"/>
  <c r="V37"/>
  <c r="AD8" i="105"/>
  <c r="V8"/>
  <c r="AD11"/>
  <c r="V11"/>
  <c r="V15"/>
  <c r="V37"/>
  <c r="AE15" i="107"/>
  <c r="X15"/>
  <c r="AE18"/>
  <c r="X18"/>
  <c r="V26"/>
  <c r="V12"/>
  <c r="V13"/>
  <c r="V36"/>
  <c r="V10" i="108"/>
  <c r="V15"/>
  <c r="X26" i="103"/>
  <c r="X35"/>
  <c r="X13"/>
  <c r="X12"/>
  <c r="X34"/>
  <c r="X25" i="105"/>
  <c r="X34"/>
  <c r="X35"/>
  <c r="X26"/>
  <c r="AE12"/>
  <c r="X12"/>
  <c r="X13"/>
  <c r="X9" i="108"/>
  <c r="X26"/>
  <c r="X34"/>
  <c r="X12"/>
  <c r="X35"/>
  <c r="X13"/>
  <c r="AG20" i="109"/>
  <c r="AG23"/>
  <c r="AB23"/>
  <c r="L34"/>
  <c r="AG19"/>
  <c r="AB19"/>
  <c r="L30"/>
  <c r="AB20"/>
  <c r="L31"/>
  <c r="Z38" i="107"/>
  <c r="V37" i="102"/>
  <c r="V36" i="103"/>
  <c r="X36"/>
  <c r="X37" i="104"/>
  <c r="Y41"/>
  <c r="L41"/>
  <c r="X37" i="105"/>
  <c r="X36" i="106"/>
  <c r="Y41"/>
  <c r="Y41" i="107"/>
  <c r="L41"/>
  <c r="X36"/>
  <c r="Z38" i="108"/>
  <c r="V37"/>
  <c r="Y41"/>
  <c r="L41"/>
  <c r="V36"/>
  <c r="X36"/>
  <c r="Z28" i="106"/>
  <c r="X9" i="102"/>
  <c r="AE9" i="103"/>
  <c r="X9"/>
  <c r="X16" i="104"/>
  <c r="L41" i="106"/>
  <c r="V11" i="107"/>
  <c r="X8"/>
  <c r="L41" i="102"/>
  <c r="V25" i="108"/>
  <c r="V19" i="107"/>
  <c r="X19" i="106"/>
  <c r="X17"/>
  <c r="V9"/>
  <c r="V15"/>
  <c r="V19"/>
  <c r="V11"/>
  <c r="V17"/>
  <c r="V8"/>
  <c r="V10"/>
  <c r="V16"/>
  <c r="AE16" i="105"/>
  <c r="X16"/>
  <c r="X33"/>
  <c r="AE8"/>
  <c r="X8"/>
  <c r="AE11"/>
  <c r="X11"/>
  <c r="AE14"/>
  <c r="X14"/>
  <c r="AE9"/>
  <c r="X9"/>
  <c r="AE15"/>
  <c r="X15"/>
  <c r="AE17"/>
  <c r="X17"/>
  <c r="AE18"/>
  <c r="X18"/>
  <c r="V11" i="104"/>
  <c r="V17"/>
  <c r="V9"/>
  <c r="V15"/>
  <c r="V19"/>
  <c r="V8"/>
  <c r="V14"/>
  <c r="V18"/>
  <c r="V8" i="102"/>
  <c r="V14"/>
  <c r="V19"/>
  <c r="V18"/>
  <c r="V16"/>
  <c r="V15"/>
  <c r="V10"/>
  <c r="V17"/>
  <c r="V9"/>
  <c r="V36" i="92"/>
  <c r="V37"/>
  <c r="Y41"/>
  <c r="L41"/>
  <c r="Z33"/>
  <c r="Z38"/>
  <c r="AE13"/>
  <c r="X13"/>
  <c r="X34"/>
  <c r="X8" i="108"/>
  <c r="V14" i="107"/>
  <c r="AD8"/>
  <c r="V8"/>
  <c r="V16"/>
  <c r="V17"/>
  <c r="V33"/>
  <c r="V15"/>
  <c r="V18"/>
  <c r="AD9"/>
  <c r="V9"/>
  <c r="V25"/>
  <c r="AD10"/>
  <c r="V10"/>
  <c r="X9" i="106"/>
  <c r="X11"/>
  <c r="X25"/>
  <c r="X8"/>
  <c r="X15"/>
  <c r="X16"/>
  <c r="X18"/>
  <c r="X14"/>
  <c r="X10"/>
  <c r="V25" i="105"/>
  <c r="AE10" i="104"/>
  <c r="X10"/>
  <c r="AE17"/>
  <c r="X17"/>
  <c r="X25"/>
  <c r="X28"/>
  <c r="AE8"/>
  <c r="X8"/>
  <c r="AE15"/>
  <c r="X15"/>
  <c r="X14"/>
  <c r="AE11"/>
  <c r="X11"/>
  <c r="V25"/>
  <c r="X33"/>
  <c r="X9"/>
  <c r="AE18"/>
  <c r="X18"/>
  <c r="AE19"/>
  <c r="X19"/>
  <c r="AE8" i="103"/>
  <c r="X8"/>
  <c r="V25" i="102"/>
  <c r="X8"/>
  <c r="AD12" i="92"/>
  <c r="V12"/>
  <c r="V13"/>
  <c r="AD19"/>
  <c r="V19"/>
  <c r="AD10"/>
  <c r="V10"/>
  <c r="AD11"/>
  <c r="V11"/>
  <c r="V14"/>
  <c r="AD17"/>
  <c r="V17"/>
  <c r="AD16"/>
  <c r="V16"/>
  <c r="V25"/>
  <c r="AE9"/>
  <c r="X9"/>
  <c r="X12"/>
  <c r="V33"/>
  <c r="V18"/>
  <c r="V15"/>
  <c r="AD8"/>
  <c r="V8"/>
  <c r="AD9"/>
  <c r="V9"/>
  <c r="AE8"/>
  <c r="X8"/>
  <c r="X25"/>
  <c r="X28"/>
  <c r="X33"/>
  <c r="N22" i="110"/>
  <c r="Y30"/>
  <c r="P30"/>
  <c r="N19"/>
  <c r="R18"/>
  <c r="P25"/>
  <c r="R17"/>
  <c r="R25"/>
  <c r="L35" i="109"/>
  <c r="V28" i="92"/>
  <c r="J11" i="97"/>
  <c r="AD19" i="103"/>
  <c r="X28"/>
  <c r="V38" i="102"/>
  <c r="Z28" i="103"/>
  <c r="AD8" i="104"/>
  <c r="Z20" i="108"/>
  <c r="R12" i="110"/>
  <c r="W33"/>
  <c r="AD9" i="102"/>
  <c r="AE15" i="92"/>
  <c r="V28" i="104"/>
  <c r="AE16" i="106"/>
  <c r="W44" i="108"/>
  <c r="Z28" i="105"/>
  <c r="AD19" i="107"/>
  <c r="X38" i="102"/>
  <c r="V38" i="104"/>
  <c r="AE18" i="102"/>
  <c r="AE12" i="103"/>
  <c r="AD12" i="108"/>
  <c r="AE12" i="102"/>
  <c r="AE14"/>
  <c r="AE16" i="103"/>
  <c r="AD15" i="108"/>
  <c r="X38" i="92"/>
  <c r="AD13" i="107"/>
  <c r="AE12" i="108"/>
  <c r="AD18"/>
  <c r="AE17" i="102"/>
  <c r="AD14" i="108"/>
  <c r="AD14" i="107"/>
  <c r="V28" i="103"/>
  <c r="AE11" i="102"/>
  <c r="AE19" i="103"/>
  <c r="V28" i="105"/>
  <c r="AD16" i="107"/>
  <c r="AE8" i="102"/>
  <c r="AE15" i="106"/>
  <c r="AD15" i="107"/>
  <c r="AD17"/>
  <c r="AE13" i="103"/>
  <c r="AD19" i="108"/>
  <c r="AE15" i="102"/>
  <c r="AE17" i="103"/>
  <c r="AD16" i="106"/>
  <c r="AD17"/>
  <c r="AE10"/>
  <c r="AE9"/>
  <c r="AE8" i="108"/>
  <c r="AE17" i="106"/>
  <c r="X28" i="102"/>
  <c r="AE18" i="92"/>
  <c r="AE9" i="104"/>
  <c r="AD11" i="107"/>
  <c r="Z20" i="104"/>
  <c r="AE14" i="108"/>
  <c r="AE14" i="106"/>
  <c r="AE13" i="108"/>
  <c r="V28" i="106"/>
  <c r="AE16" i="104"/>
  <c r="AD8" i="108"/>
  <c r="AD10"/>
  <c r="Z20" i="105"/>
  <c r="W44"/>
  <c r="W32" i="110"/>
  <c r="Z28" i="102"/>
  <c r="AD18" i="103"/>
  <c r="AE19" i="106"/>
  <c r="AE9" i="108"/>
  <c r="AD11" i="103"/>
  <c r="AD15" i="92"/>
  <c r="AE18" i="106"/>
  <c r="X28"/>
  <c r="V28" i="107"/>
  <c r="V38"/>
  <c r="V38" i="103"/>
  <c r="X28" i="108"/>
  <c r="X38" i="105"/>
  <c r="X20" i="107"/>
  <c r="AE13" i="106"/>
  <c r="AE18" i="108"/>
  <c r="AE14" i="107"/>
  <c r="AD16" i="108"/>
  <c r="X38" i="104"/>
  <c r="AE11" i="106"/>
  <c r="V20"/>
  <c r="AE12"/>
  <c r="AD15" i="103"/>
  <c r="AE10" i="108"/>
  <c r="AE17"/>
  <c r="AD17" i="105"/>
  <c r="AD14" i="103"/>
  <c r="AE16" i="108"/>
  <c r="AD18" i="104"/>
  <c r="X38" i="106"/>
  <c r="V20" i="103"/>
  <c r="V20" i="108"/>
  <c r="X20" i="103"/>
  <c r="X38"/>
  <c r="W43"/>
  <c r="X20" i="108"/>
  <c r="Z20" i="103"/>
  <c r="W44"/>
  <c r="AD17"/>
  <c r="AD9" i="104"/>
  <c r="AD15"/>
  <c r="AD17"/>
  <c r="Z28"/>
  <c r="V28" i="102"/>
  <c r="AD19"/>
  <c r="V38" i="105"/>
  <c r="X20" i="102"/>
  <c r="AD16" i="103"/>
  <c r="AD18" i="92"/>
  <c r="Z20" i="106"/>
  <c r="W44"/>
  <c r="AE13" i="102"/>
  <c r="V20" i="107"/>
  <c r="V20" i="104"/>
  <c r="W42"/>
  <c r="X20" i="105"/>
  <c r="X38" i="108"/>
  <c r="X38" i="107"/>
  <c r="V38" i="108"/>
  <c r="AD14" i="92"/>
  <c r="Z20" i="102"/>
  <c r="AD13" i="104"/>
  <c r="V20" i="102"/>
  <c r="X20" i="92"/>
  <c r="W43"/>
  <c r="V38"/>
  <c r="X20" i="106"/>
  <c r="AD19" i="104"/>
  <c r="V28" i="108"/>
  <c r="V20" i="105"/>
  <c r="V38" i="106"/>
  <c r="AD18" i="105"/>
  <c r="AD18" i="107"/>
  <c r="Z20" i="92"/>
  <c r="W44"/>
  <c r="V20"/>
  <c r="X20" i="104"/>
  <c r="X28" i="105"/>
  <c r="AD16" i="104"/>
  <c r="AD13" i="106"/>
  <c r="Z20" i="107"/>
  <c r="Z28"/>
  <c r="AD12" i="104"/>
  <c r="AD14" i="102"/>
  <c r="AD9" i="106"/>
  <c r="AD12" i="102"/>
  <c r="AD12" i="105"/>
  <c r="AD17" i="102"/>
  <c r="AD10" i="104"/>
  <c r="AD19" i="105"/>
  <c r="AD12" i="103"/>
  <c r="AD10" i="102"/>
  <c r="AD11" i="106"/>
  <c r="AD12"/>
  <c r="AD14" i="105"/>
  <c r="AE16" i="92"/>
  <c r="AE19"/>
  <c r="AD16" i="105"/>
  <c r="AE15" i="108"/>
  <c r="AE19" i="102"/>
  <c r="AD18"/>
  <c r="AD8"/>
  <c r="AD15" i="105"/>
  <c r="AD11" i="102"/>
  <c r="AE11" i="108"/>
  <c r="AD13" i="102"/>
  <c r="AD15"/>
  <c r="AD8" i="106"/>
  <c r="AD19"/>
  <c r="AD14"/>
  <c r="AD13" i="105"/>
  <c r="AD18" i="106"/>
  <c r="AD10"/>
  <c r="AD15"/>
  <c r="W43"/>
  <c r="W42" i="103"/>
  <c r="W43" i="102"/>
  <c r="W43" i="107"/>
  <c r="W42" i="105"/>
  <c r="W44" i="104"/>
  <c r="W43" i="105"/>
  <c r="W44" i="102"/>
  <c r="W42" i="107"/>
  <c r="W42" i="108"/>
  <c r="W43" i="104"/>
  <c r="W42" i="106"/>
  <c r="W42" i="92"/>
  <c r="W44" i="107"/>
  <c r="W42" i="102"/>
  <c r="W43" i="108"/>
  <c r="AH19" i="97"/>
  <c r="J12"/>
  <c r="J17"/>
  <c r="T17"/>
  <c r="AH21"/>
  <c r="X12"/>
  <c r="AH20"/>
  <c r="X11"/>
  <c r="J18"/>
  <c r="T18"/>
</calcChain>
</file>

<file path=xl/comments1.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N5" authorId="0">
      <text>
        <r>
          <rPr>
            <sz val="9"/>
            <color indexed="81"/>
            <rFont val="ＭＳ Ｐゴシック"/>
            <family val="3"/>
            <charset val="128"/>
          </rPr>
          <t>取得日射量補正係数は簡略計算法にて算出</t>
        </r>
      </text>
    </comment>
    <comment ref="T31" authorId="1">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<sst xmlns="http://schemas.openxmlformats.org/spreadsheetml/2006/main" count="875" uniqueCount="247">
  <si>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</si>
  <si>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</si>
  <si>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</si>
  <si>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</si>
  <si>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</si>
  <si>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</si>
  <si>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</si>
  <si>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</si>
  <si>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</si>
  <si>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</si>
  <si>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</si>
  <si>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</si>
  <si>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</si>
  <si>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</si>
  <si>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</si>
  <si>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</si>
  <si>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</si>
  <si>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</si>
  <si>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</si>
  <si>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</si>
  <si>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</si>
  <si>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</si>
  <si>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</si>
  <si>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</si>
  <si>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</si>
  <si>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</si>
  <si>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</si>
  <si>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</si>
  <si>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</si>
  <si>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</si>
  <si>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</si>
  <si>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</si>
  <si>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</si>
  <si>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</si>
  <si>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</si>
  <si>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</si>
  <si>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</si>
  <si>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</si>
  <si>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</si>
  <si>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</si>
  <si>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</si>
  <si>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</si>
  <si>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</si>
  <si>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</si>
  <si>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</si>
  <si>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</si>
  <si>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</si>
  <si>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</si>
  <si>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</si>
  <si>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</si>
  <si>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</si>
  <si>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</si>
  <si>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</si>
  <si>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</si>
  <si>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</si>
  <si>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</si>
  <si>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</si>
  <si>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</si>
  <si>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</si>
  <si>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</si>
  <si>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</si>
  <si>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</si>
  <si>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</si>
  <si>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</si>
  <si>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</si>
  <si>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</si>
  <si>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</si>
  <si>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</si>
  <si>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</si>
  <si>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</si>
  <si>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</si>
  <si>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</si>
  <si>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</si>
  <si>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</si>
  <si>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</si>
  <si>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</si>
  <si>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</si>
  <si>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</si>
  <si>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</si>
  <si>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</si>
  <si>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</si>
  <si>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</si>
  <si>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</si>
  <si>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</si>
  <si>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</si>
  <si>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</si>
  <si>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</si>
  <si>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</si>
  <si>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</si>
  <si>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</si>
  <si>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</si>
  <si>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</si>
  <si>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</si>
  <si>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</si>
  <si>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</si>
  <si>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</si>
  <si>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</si>
  <si>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</si>
  <si>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</si>
  <si>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</si>
  <si>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</si>
  <si>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</si>
  <si>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</si>
  <si>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</si>
  <si>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</si>
  <si>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</si>
  <si>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</si>
  <si>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</si>
  <si>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</si>
  <si>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</si>
  <si>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</si>
  <si>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</si>
  <si>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</si>
  <si>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</si>
  <si>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</si>
  <si>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</si>
  <si>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</si>
  <si>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</si>
  <si>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</si>
  <si>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</si>
  <si>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</si>
  <si>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</si>
  <si>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</si>
  <si>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</si>
  <si>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</si>
  <si>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</si>
  <si>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</si>
  <si>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</si>
  <si>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</si>
  <si>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</si>
  <si>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</si>
  <si>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</si>
  <si>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</si>
  <si>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</si>
  <si>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</si>
  <si>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</si>
  <si>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</si>
  <si>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</si>
  <si>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</si>
  <si>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</si>
  <si>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</si>
  <si>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</si>
  <si>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</si>
  <si>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</si>
  <si>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</si>
  <si>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</si>
  <si>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</si>
  <si>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</si>
  <si>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</si>
  <si>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</si>
  <si>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</si>
  <si>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</si>
  <si>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</si>
  <si>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</si>
  <si>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</si>
  <si>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</si>
  <si>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</si>
  <si>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</si>
  <si>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</si>
  <si>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</si>
  <si>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</si>
  <si>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</si>
  <si>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</si>
  <si>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</si>
  <si>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</si>
  <si>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</si>
  <si>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</si>
  <si>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</si>
  <si>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</si>
  <si>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</si>
  <si>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</si>
  <si>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</si>
  <si>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</si>
  <si>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</si>
  <si>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</si>
  <si>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</si>
  <si>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</si>
  <si>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</si>
  <si>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</si>
  <si>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</si>
  <si>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</si>
  <si>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</si>
  <si>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</si>
  <si>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</si>
  <si>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</si>
  <si>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</si>
  <si>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</si>
  <si>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</si>
  <si>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</si>
  <si>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</si>
  <si>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</si>
  <si>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</si>
  <si>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</si>
  <si>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</si>
  <si>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</si>
  <si>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</si>
  <si>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</si>
  <si>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</si>
  <si>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</si>
  <si>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</si>
  <si>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</si>
  <si>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</si>
  <si>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</si>
  <si>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</si>
  <si>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</si>
  <si>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</si>
  <si>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</si>
  <si>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</si>
  <si>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</si>
  <si>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</si>
  <si>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</si>
  <si>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</si>
  <si>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</si>
  <si>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</si>
  <si>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</si>
  <si>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</si>
  <si>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</si>
  <si>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</si>
  <si>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</si>
  <si>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</si>
  <si>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</si>
  <si>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</si>
  <si>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</si>
  <si>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</si>
  <si>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</si>
  <si>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</si>
  <si>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</si>
  <si>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</si>
  <si>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</si>
  <si>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</si>
  <si>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</si>
  <si>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</si>
  <si>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</si>
  <si>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本バージョン Ver.1.8</t>
    <rPh sb="0" eb="1">
      <t>ホン</t>
    </rPh>
    <phoneticPr fontId="2"/>
  </si>
  <si>
    <t>Ver.1.7</t>
    <phoneticPr fontId="2"/>
  </si>
  <si>
    <t>シート「共通条件・結果」：8地域の冷房期の平均日射熱取得率基準値の変更</t>
    <phoneticPr fontId="2"/>
  </si>
  <si>
    <t>　2020/4/1</t>
    <phoneticPr fontId="2"/>
  </si>
  <si>
    <t>基礎断熱</t>
  </si>
  <si>
    <t>天井</t>
  </si>
  <si>
    <t>６地域</t>
    <phoneticPr fontId="2"/>
  </si>
  <si>
    <t>基礎壁</t>
    <rPh sb="0" eb="2">
      <t>キソ</t>
    </rPh>
    <rPh sb="2" eb="3">
      <t>カベ</t>
    </rPh>
    <phoneticPr fontId="2"/>
  </si>
  <si>
    <t>LDK</t>
    <phoneticPr fontId="2"/>
  </si>
  <si>
    <t>廊下</t>
    <rPh sb="0" eb="2">
      <t>ロウカ</t>
    </rPh>
    <phoneticPr fontId="2"/>
  </si>
  <si>
    <t>外壁</t>
    <rPh sb="0" eb="2">
      <t>ガイヘキ</t>
    </rPh>
    <phoneticPr fontId="2"/>
  </si>
  <si>
    <t>ｼｬｯﾀｰ</t>
  </si>
  <si>
    <t>勾配天井</t>
    <rPh sb="0" eb="2">
      <t>コウバイ</t>
    </rPh>
    <rPh sb="2" eb="4">
      <t>テンジョウ</t>
    </rPh>
    <phoneticPr fontId="2"/>
  </si>
  <si>
    <t>静岡県</t>
    <rPh sb="0" eb="3">
      <t>シズオカケン</t>
    </rPh>
    <phoneticPr fontId="2"/>
  </si>
</sst>
</file>

<file path=xl/styles.xml><?xml version="1.0" encoding="utf-8"?>
<styleSheet xmlns="http://schemas.openxmlformats.org/spreadsheetml/2006/main">
  <numFmts count="5">
    <numFmt numFmtId="176" formatCode="0.0"/>
    <numFmt numFmtId="177" formatCode="0.000_ "/>
    <numFmt numFmtId="178" formatCode="0.00_ "/>
    <numFmt numFmtId="179" formatCode="0.0_ "/>
    <numFmt numFmtId="180" formatCode="0.00;_퐀"/>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indexed="10"/>
      <name val="HG丸ｺﾞｼｯｸM-PRO"/>
      <family val="3"/>
      <charset val="128"/>
    </font>
    <font>
      <sz val="10"/>
      <name val="ＭＳ Ｐ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10.5"/>
      <name val="ＭＳ ゴシック"/>
      <family val="3"/>
      <charset val="128"/>
    </font>
    <font>
      <sz val="11"/>
      <color indexed="8"/>
      <name val="ＭＳ ゴシック"/>
      <family val="3"/>
      <charset val="128"/>
    </font>
    <font>
      <sz val="10.5"/>
      <color indexed="8"/>
      <name val="ＭＳ ゴシック"/>
      <family val="3"/>
      <charset val="128"/>
    </font>
    <font>
      <sz val="10"/>
      <color indexed="8"/>
      <name val="ＭＳ Ｐゴシック"/>
      <family val="3"/>
      <charset val="128"/>
    </font>
    <font>
      <sz val="11"/>
      <color indexed="8"/>
      <name val="ＭＳ Ｐゴシック"/>
      <family val="3"/>
      <charset val="128"/>
    </font>
    <font>
      <sz val="11"/>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6"/>
        <bgColor indexed="64"/>
      </patternFill>
    </fill>
  </fills>
  <borders count="11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502">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15"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0" xfId="0" applyFont="1" applyFill="1"/>
    <xf numFmtId="0" fontId="0" fillId="0" borderId="0" xfId="0" applyFill="1"/>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9" xfId="0" applyBorder="1" applyAlignment="1">
      <alignment horizontal="center" vertical="center"/>
    </xf>
    <xf numFmtId="176" fontId="0" fillId="0" borderId="19"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20" xfId="0" applyFont="1" applyFill="1" applyBorder="1" applyAlignment="1">
      <alignment vertical="center"/>
    </xf>
    <xf numFmtId="0" fontId="6" fillId="3" borderId="9" xfId="0" applyFont="1" applyFill="1" applyBorder="1" applyAlignment="1">
      <alignment vertical="center"/>
    </xf>
    <xf numFmtId="0" fontId="6" fillId="3" borderId="21"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6" xfId="0" applyNumberFormat="1" applyFont="1" applyBorder="1" applyAlignment="1">
      <alignment vertical="center"/>
    </xf>
    <xf numFmtId="178" fontId="3" fillId="0" borderId="4" xfId="0" applyNumberFormat="1" applyFont="1" applyBorder="1" applyAlignment="1">
      <alignment vertical="center"/>
    </xf>
    <xf numFmtId="178" fontId="3" fillId="0" borderId="17"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9" xfId="0" applyFont="1" applyBorder="1" applyAlignment="1">
      <alignment vertical="center"/>
    </xf>
    <xf numFmtId="0" fontId="9" fillId="0" borderId="0" xfId="0" applyFont="1" applyFill="1" applyBorder="1" applyAlignment="1">
      <alignment vertical="center"/>
    </xf>
    <xf numFmtId="0" fontId="3" fillId="0" borderId="19"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22"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176" fontId="26" fillId="0" borderId="19" xfId="0" applyNumberFormat="1" applyFont="1" applyBorder="1" applyAlignment="1">
      <alignment horizontal="center" vertical="center"/>
    </xf>
    <xf numFmtId="0" fontId="26" fillId="0" borderId="19" xfId="0" applyFont="1" applyBorder="1" applyAlignment="1">
      <alignment horizontal="center" vertical="center"/>
    </xf>
    <xf numFmtId="14" fontId="0" fillId="0" borderId="0" xfId="0" applyNumberFormat="1" applyAlignment="1">
      <alignment horizontal="left"/>
    </xf>
    <xf numFmtId="0" fontId="20" fillId="0" borderId="0" xfId="0" applyFont="1" applyAlignment="1">
      <alignment horizontal="left" vertical="center"/>
    </xf>
    <xf numFmtId="0" fontId="6" fillId="0" borderId="20" xfId="0" applyFont="1" applyBorder="1" applyAlignment="1">
      <alignment horizontal="right" vertical="center"/>
    </xf>
    <xf numFmtId="0" fontId="6" fillId="0" borderId="6" xfId="0" applyFont="1" applyBorder="1" applyAlignment="1">
      <alignment horizontal="right" vertical="center"/>
    </xf>
    <xf numFmtId="0" fontId="6" fillId="0" borderId="29" xfId="0" applyFont="1" applyBorder="1" applyAlignment="1">
      <alignment horizontal="right" vertical="center"/>
    </xf>
    <xf numFmtId="0" fontId="6" fillId="0" borderId="5" xfId="0" applyFont="1" applyBorder="1" applyAlignment="1">
      <alignment horizontal="right" vertical="center"/>
    </xf>
    <xf numFmtId="179" fontId="6" fillId="0" borderId="31"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3" borderId="30" xfId="0" applyFont="1" applyFill="1" applyBorder="1" applyAlignment="1">
      <alignment horizontal="center" vertical="center"/>
    </xf>
    <xf numFmtId="0" fontId="3" fillId="3" borderId="34" xfId="0" applyFont="1" applyFill="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6" xfId="0" applyFont="1" applyBorder="1" applyAlignment="1">
      <alignment vertical="center"/>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7"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4" xfId="0" applyFont="1" applyFill="1" applyBorder="1" applyAlignment="1" applyProtection="1">
      <alignment vertical="center" shrinkToFit="1"/>
      <protection locked="0"/>
    </xf>
    <xf numFmtId="0" fontId="8" fillId="3" borderId="4"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3" fillId="2" borderId="30" xfId="0" applyFont="1" applyFill="1" applyBorder="1" applyAlignment="1">
      <alignment horizontal="center" vertical="center"/>
    </xf>
    <xf numFmtId="0" fontId="3" fillId="2" borderId="4" xfId="0" applyFont="1" applyFill="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9" fillId="0" borderId="5" xfId="0" applyFont="1" applyBorder="1" applyAlignment="1">
      <alignment horizontal="center" vertical="center"/>
    </xf>
    <xf numFmtId="0" fontId="9" fillId="0" borderId="3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9" xfId="0" applyFont="1" applyBorder="1" applyAlignment="1">
      <alignment horizontal="center" vertical="center" wrapText="1"/>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17" fillId="0" borderId="30"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horizontal="right" vertical="center"/>
    </xf>
    <xf numFmtId="0" fontId="0" fillId="0" borderId="26" xfId="0" applyBorder="1" applyAlignment="1">
      <alignment horizontal="center" vertical="center"/>
    </xf>
    <xf numFmtId="0" fontId="0" fillId="0" borderId="19" xfId="0" applyBorder="1" applyAlignment="1">
      <alignment horizontal="center" vertical="center"/>
    </xf>
    <xf numFmtId="0" fontId="8" fillId="3" borderId="5" xfId="0" applyFont="1" applyFill="1" applyBorder="1" applyAlignment="1" applyProtection="1">
      <alignment vertical="center" shrinkToFit="1"/>
      <protection locked="0"/>
    </xf>
    <xf numFmtId="0" fontId="8" fillId="3" borderId="16" xfId="0" applyFont="1" applyFill="1" applyBorder="1" applyAlignment="1" applyProtection="1">
      <alignment vertical="center" shrinkToFit="1"/>
      <protection locked="0"/>
    </xf>
    <xf numFmtId="0" fontId="3" fillId="0" borderId="20" xfId="0" applyFont="1" applyBorder="1" applyAlignment="1">
      <alignment vertical="center"/>
    </xf>
    <xf numFmtId="0" fontId="3" fillId="0" borderId="6" xfId="0" applyFont="1" applyBorder="1" applyAlignment="1">
      <alignment vertical="center"/>
    </xf>
    <xf numFmtId="0" fontId="3" fillId="0" borderId="22" xfId="0" applyFont="1" applyBorder="1" applyAlignment="1">
      <alignment vertical="center"/>
    </xf>
    <xf numFmtId="0" fontId="6" fillId="2" borderId="20"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9" fillId="0" borderId="6" xfId="0" applyFont="1" applyBorder="1" applyAlignment="1">
      <alignment horizontal="left" vertical="center"/>
    </xf>
    <xf numFmtId="0" fontId="9" fillId="0" borderId="22" xfId="0" applyFont="1" applyBorder="1" applyAlignment="1">
      <alignment horizontal="left" vertical="center"/>
    </xf>
    <xf numFmtId="178" fontId="3" fillId="0" borderId="46" xfId="0" applyNumberFormat="1" applyFont="1" applyFill="1" applyBorder="1" applyAlignment="1" applyProtection="1">
      <alignment horizontal="center" vertical="center"/>
    </xf>
    <xf numFmtId="178" fontId="3" fillId="0" borderId="98" xfId="0" applyNumberFormat="1" applyFont="1" applyFill="1" applyBorder="1" applyAlignment="1" applyProtection="1">
      <alignment horizontal="center" vertical="center"/>
    </xf>
    <xf numFmtId="178" fontId="3" fillId="0" borderId="42" xfId="0" applyNumberFormat="1" applyFont="1" applyFill="1" applyBorder="1" applyAlignment="1" applyProtection="1">
      <alignment horizontal="center" vertical="center"/>
    </xf>
    <xf numFmtId="178" fontId="3" fillId="0" borderId="82" xfId="0" applyNumberFormat="1"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xf>
    <xf numFmtId="178" fontId="3" fillId="0" borderId="38" xfId="0" applyNumberFormat="1" applyFont="1" applyFill="1" applyBorder="1" applyAlignment="1" applyProtection="1">
      <alignment horizontal="center" vertical="center"/>
    </xf>
    <xf numFmtId="178" fontId="3" fillId="0" borderId="96" xfId="0" applyNumberFormat="1" applyFont="1" applyFill="1" applyBorder="1" applyAlignment="1" applyProtection="1">
      <alignment horizontal="center" vertical="center"/>
    </xf>
    <xf numFmtId="178" fontId="3" fillId="0" borderId="99" xfId="0" applyNumberFormat="1" applyFont="1" applyFill="1" applyBorder="1" applyAlignment="1" applyProtection="1">
      <alignment horizontal="center" vertical="center"/>
    </xf>
    <xf numFmtId="178" fontId="3" fillId="0" borderId="100" xfId="0" applyNumberFormat="1" applyFont="1" applyFill="1" applyBorder="1" applyAlignment="1" applyProtection="1">
      <alignment horizontal="center" vertical="center"/>
    </xf>
    <xf numFmtId="178" fontId="3" fillId="0" borderId="71" xfId="0" applyNumberFormat="1" applyFont="1" applyFill="1" applyBorder="1" applyAlignment="1" applyProtection="1">
      <alignment horizontal="center" vertical="center"/>
    </xf>
    <xf numFmtId="178" fontId="3" fillId="0" borderId="48" xfId="0" applyNumberFormat="1" applyFont="1" applyFill="1" applyBorder="1" applyAlignment="1" applyProtection="1">
      <alignment horizontal="center" vertical="center"/>
    </xf>
    <xf numFmtId="0" fontId="3" fillId="0" borderId="0" xfId="0" applyFont="1" applyFill="1" applyAlignment="1">
      <alignment horizontal="center" vertical="center"/>
    </xf>
    <xf numFmtId="178" fontId="3" fillId="0" borderId="84" xfId="0" applyNumberFormat="1" applyFont="1" applyFill="1" applyBorder="1" applyAlignment="1" applyProtection="1">
      <alignment horizontal="center" vertical="center"/>
    </xf>
    <xf numFmtId="0" fontId="3" fillId="0" borderId="43"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93" xfId="0" applyFont="1" applyFill="1" applyBorder="1" applyAlignment="1">
      <alignment horizontal="center" vertical="center"/>
    </xf>
    <xf numFmtId="178" fontId="3" fillId="0" borderId="85" xfId="0" applyNumberFormat="1" applyFont="1" applyFill="1" applyBorder="1" applyAlignment="1" applyProtection="1">
      <alignment horizontal="center" vertical="center"/>
    </xf>
    <xf numFmtId="178" fontId="3" fillId="0" borderId="74" xfId="0" applyNumberFormat="1" applyFont="1" applyFill="1" applyBorder="1" applyAlignment="1" applyProtection="1">
      <alignment horizontal="center" vertical="center"/>
    </xf>
    <xf numFmtId="178" fontId="3" fillId="0" borderId="97" xfId="0" applyNumberFormat="1" applyFont="1" applyFill="1" applyBorder="1" applyAlignment="1" applyProtection="1">
      <alignment horizontal="center" vertical="center"/>
    </xf>
    <xf numFmtId="0" fontId="7" fillId="3" borderId="35" xfId="0" applyFont="1" applyFill="1" applyBorder="1" applyAlignment="1" applyProtection="1">
      <alignment horizontal="center" vertical="center" shrinkToFit="1"/>
      <protection locked="0"/>
    </xf>
    <xf numFmtId="0" fontId="7" fillId="3" borderId="38" xfId="0"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0" fontId="3" fillId="0" borderId="43" xfId="0" applyFont="1" applyFill="1" applyBorder="1" applyAlignment="1">
      <alignment horizontal="center" vertical="center" wrapText="1"/>
    </xf>
    <xf numFmtId="0" fontId="8"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7" fillId="3" borderId="44"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shrinkToFit="1"/>
      <protection locked="0"/>
    </xf>
    <xf numFmtId="0" fontId="7" fillId="3" borderId="79"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178" fontId="3" fillId="0" borderId="44" xfId="0" applyNumberFormat="1" applyFont="1" applyFill="1" applyBorder="1" applyAlignment="1" applyProtection="1">
      <alignment horizontal="center" vertical="center"/>
    </xf>
    <xf numFmtId="178" fontId="3" fillId="0" borderId="83" xfId="0" applyNumberFormat="1" applyFont="1" applyFill="1" applyBorder="1" applyAlignment="1" applyProtection="1">
      <alignment horizontal="center" vertical="center"/>
    </xf>
    <xf numFmtId="0" fontId="3" fillId="0" borderId="44" xfId="0" applyFont="1" applyFill="1" applyBorder="1" applyAlignment="1">
      <alignment horizontal="center" vertical="center"/>
    </xf>
    <xf numFmtId="0" fontId="3" fillId="0" borderId="83" xfId="0" applyFont="1" applyFill="1" applyBorder="1" applyAlignment="1">
      <alignment horizontal="center" vertical="center"/>
    </xf>
    <xf numFmtId="178" fontId="3" fillId="0" borderId="28" xfId="0" applyNumberFormat="1" applyFont="1" applyFill="1" applyBorder="1" applyAlignment="1" applyProtection="1">
      <alignment horizontal="center" vertical="center"/>
    </xf>
    <xf numFmtId="178" fontId="3" fillId="0" borderId="94" xfId="0" applyNumberFormat="1" applyFont="1" applyFill="1" applyBorder="1" applyAlignment="1" applyProtection="1">
      <alignment horizontal="center" vertical="center"/>
    </xf>
    <xf numFmtId="0" fontId="7" fillId="3" borderId="72" xfId="0" applyFont="1" applyFill="1" applyBorder="1" applyAlignment="1" applyProtection="1">
      <alignment horizontal="left" vertical="center" shrinkToFit="1"/>
      <protection locked="0"/>
    </xf>
    <xf numFmtId="0" fontId="7" fillId="3" borderId="95" xfId="0" applyFont="1" applyFill="1" applyBorder="1" applyAlignment="1" applyProtection="1">
      <alignment horizontal="left" vertical="center" shrinkToFit="1"/>
      <protection locked="0"/>
    </xf>
    <xf numFmtId="0" fontId="7" fillId="3" borderId="73" xfId="0" applyFont="1" applyFill="1" applyBorder="1" applyAlignment="1" applyProtection="1">
      <alignment horizontal="left" vertical="center" shrinkToFit="1"/>
      <protection locked="0"/>
    </xf>
    <xf numFmtId="0" fontId="7" fillId="3" borderId="46"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3" borderId="70"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3" fillId="0" borderId="44" xfId="0" applyFont="1" applyFill="1" applyBorder="1" applyAlignment="1">
      <alignment horizontal="center" vertical="center" wrapText="1"/>
    </xf>
    <xf numFmtId="0" fontId="7" fillId="3" borderId="37" xfId="0" applyFont="1" applyFill="1" applyBorder="1" applyAlignment="1" applyProtection="1">
      <alignment horizontal="left" vertical="center" shrinkToFit="1"/>
      <protection locked="0"/>
    </xf>
    <xf numFmtId="0" fontId="7" fillId="3" borderId="91" xfId="0" applyFont="1" applyFill="1" applyBorder="1" applyAlignment="1" applyProtection="1">
      <alignment horizontal="left" vertical="center" shrinkToFit="1"/>
      <protection locked="0"/>
    </xf>
    <xf numFmtId="0" fontId="7" fillId="3" borderId="38"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center" vertical="center" shrinkToFit="1"/>
      <protection locked="0"/>
    </xf>
    <xf numFmtId="0" fontId="9" fillId="0" borderId="89"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7" fillId="3" borderId="46" xfId="0" applyFont="1" applyFill="1" applyBorder="1" applyAlignment="1" applyProtection="1">
      <alignment horizontal="center" vertical="center" shrinkToFit="1"/>
      <protection locked="0"/>
    </xf>
    <xf numFmtId="0" fontId="7" fillId="3" borderId="42"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shrinkToFit="1"/>
    </xf>
    <xf numFmtId="0" fontId="7" fillId="3" borderId="38" xfId="0" applyFont="1" applyFill="1" applyBorder="1" applyAlignment="1" applyProtection="1">
      <alignment horizontal="center" vertical="center" shrinkToFit="1"/>
    </xf>
    <xf numFmtId="0" fontId="7" fillId="3" borderId="46" xfId="0" applyFont="1" applyFill="1" applyBorder="1" applyAlignment="1" applyProtection="1">
      <alignment horizontal="center" vertical="center" shrinkToFit="1"/>
    </xf>
    <xf numFmtId="0" fontId="8" fillId="0" borderId="86" xfId="0" applyFont="1" applyFill="1" applyBorder="1" applyAlignment="1">
      <alignment horizontal="center" vertical="center"/>
    </xf>
    <xf numFmtId="0" fontId="7" fillId="3" borderId="47"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left" vertical="center" shrinkToFit="1"/>
      <protection locked="0"/>
    </xf>
    <xf numFmtId="0" fontId="13" fillId="0" borderId="89"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3" xfId="0" applyFont="1" applyFill="1" applyBorder="1" applyAlignment="1">
      <alignment horizontal="center" vertical="center"/>
    </xf>
    <xf numFmtId="0" fontId="13" fillId="0" borderId="45" xfId="0" applyFont="1" applyFill="1" applyBorder="1" applyAlignment="1">
      <alignment horizontal="center" vertical="center"/>
    </xf>
    <xf numFmtId="0" fontId="7" fillId="3" borderId="90" xfId="0" applyFont="1" applyFill="1" applyBorder="1" applyAlignment="1" applyProtection="1">
      <alignment horizontal="left" vertical="center" shrinkToFit="1"/>
      <protection locked="0"/>
    </xf>
    <xf numFmtId="180" fontId="3" fillId="0" borderId="35" xfId="0" applyNumberFormat="1" applyFont="1" applyFill="1" applyBorder="1" applyAlignment="1" applyProtection="1">
      <alignment horizontal="center" vertical="center"/>
    </xf>
    <xf numFmtId="180" fontId="3" fillId="0" borderId="38" xfId="0" applyNumberFormat="1" applyFont="1" applyFill="1" applyBorder="1" applyAlignment="1" applyProtection="1">
      <alignment horizontal="center" vertical="center"/>
    </xf>
    <xf numFmtId="180" fontId="3" fillId="0" borderId="71" xfId="0" applyNumberFormat="1" applyFont="1" applyFill="1" applyBorder="1" applyAlignment="1" applyProtection="1">
      <alignment horizontal="center" vertical="center"/>
    </xf>
    <xf numFmtId="180" fontId="3" fillId="0" borderId="48" xfId="0" applyNumberFormat="1" applyFont="1" applyFill="1" applyBorder="1" applyAlignment="1" applyProtection="1">
      <alignment horizontal="center" vertical="center"/>
    </xf>
    <xf numFmtId="0" fontId="7" fillId="3" borderId="71" xfId="0"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3" borderId="78" xfId="0" applyFont="1" applyFill="1" applyBorder="1" applyAlignment="1" applyProtection="1">
      <alignment horizontal="center" vertical="center" shrinkToFit="1"/>
      <protection locked="0"/>
    </xf>
    <xf numFmtId="0" fontId="3" fillId="0" borderId="89"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7" fillId="3" borderId="42" xfId="0" applyFont="1" applyFill="1" applyBorder="1" applyAlignment="1" applyProtection="1">
      <alignment horizontal="center" vertical="center" shrinkToFit="1"/>
    </xf>
    <xf numFmtId="0" fontId="7" fillId="3" borderId="42" xfId="0" applyFont="1" applyFill="1" applyBorder="1" applyAlignment="1" applyProtection="1">
      <alignment horizontal="center" vertical="center" shrinkToFit="1"/>
      <protection locked="0"/>
    </xf>
    <xf numFmtId="0" fontId="3" fillId="0" borderId="20"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8" xfId="0" applyFont="1" applyFill="1" applyBorder="1" applyAlignment="1">
      <alignment horizontal="center" vertical="center"/>
    </xf>
    <xf numFmtId="38" fontId="3" fillId="0" borderId="45" xfId="1" applyFont="1" applyFill="1" applyBorder="1" applyAlignment="1">
      <alignment horizontal="center" vertical="center"/>
    </xf>
    <xf numFmtId="38" fontId="3" fillId="0" borderId="31" xfId="1" applyFont="1" applyFill="1" applyBorder="1" applyAlignment="1">
      <alignment horizontal="center"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7" xfId="0" applyFont="1" applyFill="1" applyBorder="1" applyAlignment="1">
      <alignment vertical="center"/>
    </xf>
    <xf numFmtId="0" fontId="7" fillId="3" borderId="44" xfId="0" applyFont="1" applyFill="1" applyBorder="1" applyAlignment="1" applyProtection="1">
      <alignment horizontal="center" vertical="center" shrinkToFit="1"/>
      <protection locked="0"/>
    </xf>
    <xf numFmtId="0" fontId="3" fillId="0" borderId="5" xfId="0" applyNumberFormat="1" applyFont="1" applyFill="1" applyBorder="1" applyAlignment="1" applyProtection="1">
      <alignment horizontal="center" vertical="center" shrinkToFit="1"/>
    </xf>
    <xf numFmtId="0" fontId="7" fillId="3" borderId="75" xfId="0" applyFont="1" applyFill="1" applyBorder="1" applyAlignment="1" applyProtection="1">
      <alignment horizontal="center" vertical="center" shrinkToFit="1"/>
      <protection locked="0"/>
    </xf>
    <xf numFmtId="0" fontId="7" fillId="3" borderId="73" xfId="0" applyFont="1" applyFill="1" applyBorder="1" applyAlignment="1" applyProtection="1">
      <alignment horizontal="center" vertical="center" shrinkToFit="1"/>
      <protection locked="0"/>
    </xf>
    <xf numFmtId="180" fontId="3" fillId="0" borderId="75" xfId="0" applyNumberFormat="1" applyFont="1" applyFill="1" applyBorder="1" applyAlignment="1" applyProtection="1">
      <alignment horizontal="center" vertical="center"/>
    </xf>
    <xf numFmtId="180" fontId="3" fillId="0" borderId="73" xfId="0" applyNumberFormat="1" applyFont="1" applyFill="1" applyBorder="1" applyAlignment="1" applyProtection="1">
      <alignment horizontal="center" vertical="center"/>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vertical="center"/>
    </xf>
    <xf numFmtId="178" fontId="3" fillId="0" borderId="5" xfId="0" applyNumberFormat="1" applyFont="1" applyFill="1" applyBorder="1" applyAlignment="1" applyProtection="1">
      <alignment horizontal="center" vertical="center"/>
    </xf>
    <xf numFmtId="178" fontId="3" fillId="0" borderId="4" xfId="0" applyNumberFormat="1" applyFont="1" applyFill="1" applyBorder="1" applyAlignment="1" applyProtection="1">
      <alignment horizontal="center" vertical="center"/>
    </xf>
    <xf numFmtId="0" fontId="7" fillId="3" borderId="40"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4" fillId="0" borderId="20"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178" fontId="3" fillId="0" borderId="80" xfId="0" applyNumberFormat="1" applyFont="1" applyFill="1" applyBorder="1" applyAlignment="1" applyProtection="1">
      <alignment horizontal="center" vertical="center"/>
    </xf>
    <xf numFmtId="178" fontId="3" fillId="0" borderId="8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7" fillId="3" borderId="44" xfId="0" applyFont="1" applyFill="1" applyBorder="1" applyAlignment="1" applyProtection="1">
      <alignment horizontal="center" vertical="center" shrinkToFi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0" fontId="7" fillId="4" borderId="70" xfId="1" applyNumberFormat="1" applyFont="1" applyFill="1" applyBorder="1" applyAlignment="1" applyProtection="1">
      <alignment horizontal="center" vertical="center"/>
      <protection locked="0"/>
    </xf>
    <xf numFmtId="0" fontId="7" fillId="4" borderId="38" xfId="1" applyNumberFormat="1" applyFont="1" applyFill="1" applyBorder="1" applyAlignment="1" applyProtection="1">
      <alignment horizontal="center" vertical="center"/>
      <protection locked="0"/>
    </xf>
    <xf numFmtId="0" fontId="7" fillId="4" borderId="42" xfId="1" applyNumberFormat="1" applyFont="1" applyFill="1" applyBorder="1" applyAlignment="1" applyProtection="1">
      <alignment horizontal="center" vertical="center"/>
      <protection locked="0"/>
    </xf>
    <xf numFmtId="0" fontId="7" fillId="4" borderId="35" xfId="1" applyNumberFormat="1" applyFont="1" applyFill="1" applyBorder="1" applyAlignment="1" applyProtection="1">
      <alignment horizontal="center" vertical="center"/>
      <protection locked="0"/>
    </xf>
    <xf numFmtId="0" fontId="7" fillId="4" borderId="36" xfId="1" applyNumberFormat="1"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7" fillId="4" borderId="41" xfId="1" applyNumberFormat="1" applyFont="1" applyFill="1" applyBorder="1" applyAlignment="1" applyProtection="1">
      <alignment horizontal="center" vertical="center"/>
      <protection locked="0"/>
    </xf>
    <xf numFmtId="0" fontId="7" fillId="4" borderId="39" xfId="1"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7" fillId="4" borderId="46" xfId="1" applyNumberFormat="1" applyFont="1" applyFill="1" applyBorder="1" applyAlignment="1" applyProtection="1">
      <alignment horizontal="center" vertical="center"/>
      <protection locked="0"/>
    </xf>
    <xf numFmtId="0" fontId="7" fillId="4" borderId="71" xfId="1" applyNumberFormat="1" applyFont="1" applyFill="1" applyBorder="1" applyAlignment="1" applyProtection="1">
      <alignment horizontal="center" vertical="center"/>
      <protection locked="0"/>
    </xf>
    <xf numFmtId="0" fontId="8" fillId="3" borderId="73" xfId="0" applyFont="1" applyFill="1" applyBorder="1" applyAlignment="1" applyProtection="1">
      <alignment horizontal="left" vertical="center" shrinkToFit="1"/>
      <protection locked="0"/>
    </xf>
    <xf numFmtId="0" fontId="7" fillId="4" borderId="73" xfId="1" applyNumberFormat="1" applyFont="1" applyFill="1" applyBorder="1" applyAlignment="1" applyProtection="1">
      <alignment horizontal="center" vertical="center"/>
      <protection locked="0"/>
    </xf>
    <xf numFmtId="0" fontId="7" fillId="4" borderId="74" xfId="1" applyNumberFormat="1" applyFont="1" applyFill="1" applyBorder="1" applyAlignment="1" applyProtection="1">
      <alignment horizontal="center" vertical="center"/>
      <protection locked="0"/>
    </xf>
    <xf numFmtId="0" fontId="3" fillId="3" borderId="75" xfId="0" applyFont="1" applyFill="1" applyBorder="1" applyAlignment="1" applyProtection="1">
      <alignment horizontal="center" vertical="center"/>
    </xf>
    <xf numFmtId="0" fontId="3" fillId="3" borderId="76" xfId="0" applyFont="1" applyFill="1" applyBorder="1" applyAlignment="1" applyProtection="1">
      <alignment horizontal="center" vertical="center"/>
    </xf>
    <xf numFmtId="0" fontId="7" fillId="4" borderId="75" xfId="1" applyNumberFormat="1" applyFont="1" applyFill="1" applyBorder="1" applyAlignment="1" applyProtection="1">
      <alignment horizontal="center" vertical="center"/>
      <protection locked="0"/>
    </xf>
    <xf numFmtId="0" fontId="7" fillId="4" borderId="77" xfId="1" applyNumberFormat="1" applyFont="1" applyFill="1" applyBorder="1" applyAlignment="1" applyProtection="1">
      <alignment horizontal="center" vertical="center"/>
      <protection locked="0"/>
    </xf>
    <xf numFmtId="0" fontId="7" fillId="4" borderId="78" xfId="1" applyNumberFormat="1" applyFont="1" applyFill="1" applyBorder="1" applyAlignment="1" applyProtection="1">
      <alignment horizontal="center" vertical="center"/>
      <protection locked="0"/>
    </xf>
    <xf numFmtId="0" fontId="7" fillId="4" borderId="48" xfId="1" applyNumberFormat="1"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shrinkToFit="1"/>
      <protection locked="0"/>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38" fontId="3" fillId="0" borderId="59" xfId="1" applyFont="1" applyFill="1" applyBorder="1" applyAlignment="1">
      <alignment horizontal="center" vertical="center"/>
    </xf>
    <xf numFmtId="38" fontId="3" fillId="0" borderId="60" xfId="1" applyFont="1" applyFill="1" applyBorder="1" applyAlignment="1">
      <alignment horizontal="center" vertical="center"/>
    </xf>
    <xf numFmtId="38" fontId="3" fillId="0" borderId="53" xfId="1" applyFont="1" applyFill="1" applyBorder="1" applyAlignment="1">
      <alignment horizontal="center" vertical="center"/>
    </xf>
    <xf numFmtId="38" fontId="3" fillId="0" borderId="61" xfId="1"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2" fontId="6" fillId="0" borderId="0" xfId="0" applyNumberFormat="1" applyFont="1" applyFill="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5"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177" fontId="3" fillId="0" borderId="55" xfId="0" applyNumberFormat="1" applyFont="1" applyFill="1" applyBorder="1" applyAlignment="1" applyProtection="1">
      <alignment horizontal="center" vertical="center"/>
    </xf>
    <xf numFmtId="177" fontId="3" fillId="0" borderId="56" xfId="0" applyNumberFormat="1" applyFont="1" applyFill="1" applyBorder="1" applyAlignment="1" applyProtection="1">
      <alignment horizontal="center" vertical="center"/>
    </xf>
    <xf numFmtId="0" fontId="7" fillId="4" borderId="50" xfId="1" applyNumberFormat="1" applyFont="1" applyFill="1" applyBorder="1" applyAlignment="1" applyProtection="1">
      <alignment horizontal="center" vertical="center"/>
      <protection locked="0"/>
    </xf>
    <xf numFmtId="0" fontId="7" fillId="4" borderId="51" xfId="1" applyNumberFormat="1" applyFont="1" applyFill="1" applyBorder="1" applyAlignment="1" applyProtection="1">
      <alignment horizontal="center" vertical="center"/>
      <protection locked="0"/>
    </xf>
    <xf numFmtId="0" fontId="8" fillId="3" borderId="48" xfId="0" applyFont="1" applyFill="1" applyBorder="1" applyAlignment="1" applyProtection="1">
      <alignment horizontal="left" vertical="center" shrinkToFit="1"/>
      <protection locked="0"/>
    </xf>
    <xf numFmtId="0" fontId="8" fillId="3" borderId="38" xfId="0" applyFont="1" applyFill="1" applyBorder="1" applyAlignment="1" applyProtection="1">
      <alignment horizontal="left" vertical="center" shrinkToFit="1"/>
      <protection locked="0"/>
    </xf>
    <xf numFmtId="177" fontId="3" fillId="0" borderId="55" xfId="0" applyNumberFormat="1" applyFont="1" applyFill="1" applyBorder="1" applyAlignment="1">
      <alignment horizontal="center" vertical="center"/>
    </xf>
    <xf numFmtId="177" fontId="3" fillId="0" borderId="56" xfId="0" applyNumberFormat="1" applyFont="1" applyFill="1" applyBorder="1" applyAlignment="1">
      <alignment horizontal="center" vertical="center"/>
    </xf>
    <xf numFmtId="177" fontId="3" fillId="0" borderId="55" xfId="0" applyNumberFormat="1" applyFont="1" applyBorder="1" applyAlignment="1">
      <alignment horizontal="center" vertical="center"/>
    </xf>
    <xf numFmtId="177" fontId="3" fillId="0" borderId="5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7" fillId="3" borderId="28" xfId="0" applyFont="1" applyFill="1" applyBorder="1" applyAlignment="1" applyProtection="1">
      <alignment horizontal="center" vertical="center" shrinkToFit="1"/>
      <protection locked="0"/>
    </xf>
    <xf numFmtId="0" fontId="7" fillId="3" borderId="99" xfId="0" applyFont="1" applyFill="1" applyBorder="1" applyAlignment="1" applyProtection="1">
      <alignment horizontal="center" vertical="center" shrinkToFit="1"/>
    </xf>
    <xf numFmtId="0" fontId="7" fillId="3" borderId="101" xfId="0" applyFont="1" applyFill="1" applyBorder="1" applyAlignment="1" applyProtection="1">
      <alignment horizontal="center" vertical="center" shrinkToFit="1"/>
    </xf>
    <xf numFmtId="0" fontId="3" fillId="0" borderId="55"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43" xfId="0" applyFont="1" applyBorder="1" applyAlignment="1">
      <alignment horizontal="center" vertical="center" wrapText="1"/>
    </xf>
    <xf numFmtId="0" fontId="3" fillId="0" borderId="43" xfId="0" applyFont="1" applyBorder="1" applyAlignment="1">
      <alignment horizontal="center" vertical="center"/>
    </xf>
    <xf numFmtId="0" fontId="3" fillId="0" borderId="45" xfId="0" applyFont="1" applyBorder="1" applyAlignment="1">
      <alignment horizontal="center" vertical="center"/>
    </xf>
    <xf numFmtId="178" fontId="3" fillId="0" borderId="42" xfId="0" applyNumberFormat="1" applyFont="1" applyBorder="1" applyAlignment="1">
      <alignment horizontal="center" vertical="center"/>
    </xf>
    <xf numFmtId="178" fontId="3" fillId="0" borderId="44" xfId="0" applyNumberFormat="1" applyFont="1" applyBorder="1" applyAlignment="1">
      <alignment horizontal="center" vertical="center"/>
    </xf>
    <xf numFmtId="2" fontId="6" fillId="0" borderId="0" xfId="0" applyNumberFormat="1" applyFont="1" applyAlignment="1">
      <alignment horizontal="center" vertical="center"/>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13" fillId="0" borderId="43" xfId="0" applyFont="1" applyBorder="1" applyAlignment="1">
      <alignment horizontal="center" vertical="center" wrapText="1"/>
    </xf>
    <xf numFmtId="0" fontId="13" fillId="0" borderId="43" xfId="0" applyFont="1" applyBorder="1" applyAlignment="1">
      <alignment horizontal="center" vertical="center"/>
    </xf>
    <xf numFmtId="0" fontId="13" fillId="0" borderId="45"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7" fillId="3" borderId="47" xfId="0" applyFont="1" applyFill="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shrinkToFit="1"/>
      <protection locked="0"/>
    </xf>
    <xf numFmtId="178" fontId="3" fillId="0" borderId="82"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46" xfId="0" applyNumberFormat="1" applyFont="1" applyBorder="1" applyAlignment="1">
      <alignment horizontal="center" vertical="center"/>
    </xf>
    <xf numFmtId="0" fontId="3" fillId="0" borderId="88" xfId="0" applyFont="1" applyBorder="1" applyAlignment="1">
      <alignment horizontal="center" vertical="center"/>
    </xf>
    <xf numFmtId="38" fontId="3" fillId="0" borderId="45" xfId="1" applyFont="1" applyBorder="1" applyAlignment="1">
      <alignment horizontal="center" vertical="center"/>
    </xf>
    <xf numFmtId="38" fontId="3" fillId="0" borderId="31" xfId="1" applyFont="1" applyBorder="1" applyAlignment="1">
      <alignment horizontal="center" vertical="center"/>
    </xf>
    <xf numFmtId="0" fontId="7" fillId="3" borderId="37"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178" fontId="3" fillId="0" borderId="74" xfId="0" applyNumberFormat="1" applyFont="1" applyBorder="1" applyAlignment="1">
      <alignment horizontal="center" vertical="center"/>
    </xf>
    <xf numFmtId="178" fontId="3" fillId="0" borderId="84" xfId="0" applyNumberFormat="1" applyFont="1" applyBorder="1" applyAlignment="1">
      <alignment horizontal="center" vertical="center"/>
    </xf>
    <xf numFmtId="0" fontId="3" fillId="2" borderId="89"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2" xfId="0" applyFont="1" applyFill="1" applyBorder="1" applyAlignment="1">
      <alignment horizontal="center" vertical="center"/>
    </xf>
    <xf numFmtId="0" fontId="3" fillId="0" borderId="89" xfId="0" applyFont="1" applyBorder="1" applyAlignment="1">
      <alignment horizontal="center" vertical="center" wrapText="1"/>
    </xf>
    <xf numFmtId="0" fontId="3" fillId="0" borderId="87"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7" fillId="3" borderId="72" xfId="0" applyFont="1" applyFill="1" applyBorder="1" applyAlignment="1" applyProtection="1">
      <alignment horizontal="center" vertical="center" shrinkToFit="1"/>
      <protection locked="0"/>
    </xf>
    <xf numFmtId="0" fontId="8" fillId="3" borderId="73" xfId="0" applyFont="1" applyFill="1" applyBorder="1" applyAlignment="1" applyProtection="1">
      <alignment horizontal="center" vertical="center" shrinkToFit="1"/>
      <protection locked="0"/>
    </xf>
    <xf numFmtId="178" fontId="3" fillId="0" borderId="85"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94" xfId="0" applyNumberFormat="1" applyFont="1" applyBorder="1" applyAlignment="1">
      <alignment horizontal="center" vertical="center"/>
    </xf>
    <xf numFmtId="178" fontId="3" fillId="2" borderId="71" xfId="0" applyNumberFormat="1" applyFont="1" applyFill="1" applyBorder="1" applyAlignment="1">
      <alignment horizontal="center" vertical="center"/>
    </xf>
    <xf numFmtId="178" fontId="3" fillId="2" borderId="48" xfId="0" applyNumberFormat="1" applyFont="1" applyFill="1" applyBorder="1" applyAlignment="1">
      <alignment horizontal="center" vertical="center"/>
    </xf>
    <xf numFmtId="178" fontId="3" fillId="0" borderId="71" xfId="0" applyNumberFormat="1" applyFont="1" applyBorder="1" applyAlignment="1">
      <alignment horizontal="center" vertical="center"/>
    </xf>
    <xf numFmtId="178" fontId="3" fillId="0" borderId="48" xfId="0" applyNumberFormat="1" applyFont="1" applyBorder="1" applyAlignment="1">
      <alignment horizontal="center" vertical="center"/>
    </xf>
    <xf numFmtId="178" fontId="3" fillId="0" borderId="89" xfId="0" applyNumberFormat="1" applyFont="1" applyBorder="1" applyAlignment="1">
      <alignment horizontal="center" vertical="center"/>
    </xf>
    <xf numFmtId="178" fontId="3" fillId="0" borderId="87" xfId="0" applyNumberFormat="1" applyFont="1" applyBorder="1" applyAlignment="1">
      <alignment horizontal="center" vertical="center"/>
    </xf>
    <xf numFmtId="0" fontId="7" fillId="3" borderId="89" xfId="0" applyFont="1" applyFill="1" applyBorder="1" applyAlignment="1" applyProtection="1">
      <alignment horizontal="center" vertical="center" shrinkToFit="1"/>
      <protection locked="0"/>
    </xf>
    <xf numFmtId="0" fontId="7" fillId="3" borderId="87" xfId="0" applyFont="1" applyFill="1" applyBorder="1" applyAlignment="1" applyProtection="1">
      <alignment horizontal="center" vertical="center" shrinkToFit="1"/>
      <protection locked="0"/>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8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178" fontId="3" fillId="0" borderId="35" xfId="0" applyNumberFormat="1" applyFont="1" applyBorder="1" applyAlignment="1">
      <alignment horizontal="center" vertical="center"/>
    </xf>
    <xf numFmtId="178" fontId="3" fillId="0" borderId="38" xfId="0" applyNumberFormat="1" applyFont="1" applyBorder="1" applyAlignment="1">
      <alignment horizontal="center" vertical="center"/>
    </xf>
    <xf numFmtId="178" fontId="3" fillId="2" borderId="35" xfId="0" applyNumberFormat="1" applyFont="1" applyFill="1" applyBorder="1" applyAlignment="1">
      <alignment horizontal="center" vertical="center"/>
    </xf>
    <xf numFmtId="178" fontId="3" fillId="2" borderId="38" xfId="0" applyNumberFormat="1" applyFont="1" applyFill="1" applyBorder="1" applyAlignment="1">
      <alignment horizontal="center" vertical="center"/>
    </xf>
    <xf numFmtId="178" fontId="3" fillId="0" borderId="75" xfId="0" applyNumberFormat="1" applyFont="1" applyBorder="1" applyAlignment="1">
      <alignment horizontal="center" vertical="center"/>
    </xf>
    <xf numFmtId="178" fontId="3" fillId="0" borderId="73"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0" fontId="7" fillId="3" borderId="99" xfId="0" applyFont="1" applyFill="1" applyBorder="1" applyAlignment="1" applyProtection="1">
      <alignment horizontal="center" vertical="center" shrinkToFit="1"/>
      <protection locked="0"/>
    </xf>
    <xf numFmtId="0" fontId="7" fillId="3" borderId="101" xfId="0" applyFont="1" applyFill="1" applyBorder="1" applyAlignment="1" applyProtection="1">
      <alignment horizontal="center" vertical="center" shrinkToFit="1"/>
      <protection locked="0"/>
    </xf>
    <xf numFmtId="178" fontId="3" fillId="2" borderId="75" xfId="0" applyNumberFormat="1" applyFont="1" applyFill="1" applyBorder="1" applyAlignment="1">
      <alignment horizontal="center" vertical="center"/>
    </xf>
    <xf numFmtId="178" fontId="3" fillId="2" borderId="73" xfId="0" applyNumberFormat="1" applyFont="1" applyFill="1" applyBorder="1" applyAlignment="1">
      <alignment horizontal="center" vertical="center"/>
    </xf>
    <xf numFmtId="178" fontId="3" fillId="0" borderId="106" xfId="0" applyNumberFormat="1" applyFont="1" applyBorder="1" applyAlignment="1">
      <alignment horizontal="center" vertical="center"/>
    </xf>
    <xf numFmtId="178" fontId="3" fillId="0" borderId="107" xfId="0" applyNumberFormat="1" applyFont="1" applyBorder="1" applyAlignment="1">
      <alignment horizontal="center" vertical="center"/>
    </xf>
    <xf numFmtId="0" fontId="4" fillId="0" borderId="20"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03"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178" fontId="3" fillId="0" borderId="102" xfId="0" applyNumberFormat="1" applyFont="1" applyBorder="1" applyAlignment="1">
      <alignment horizontal="center" vertical="center"/>
    </xf>
    <xf numFmtId="178" fontId="3" fillId="0" borderId="86"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9" fillId="0" borderId="5"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7" fillId="3" borderId="65" xfId="0" applyFont="1" applyFill="1" applyBorder="1" applyAlignment="1" applyProtection="1">
      <alignment horizontal="center"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14" xfId="0" applyFont="1" applyFill="1" applyBorder="1" applyAlignment="1" applyProtection="1">
      <alignment horizontal="center" vertical="center" shrinkToFit="1"/>
      <protection locked="0"/>
    </xf>
    <xf numFmtId="0" fontId="7" fillId="3" borderId="92" xfId="0" applyFont="1" applyFill="1" applyBorder="1" applyAlignment="1" applyProtection="1">
      <alignment horizontal="center" vertical="center" shrinkToFit="1"/>
      <protection locked="0"/>
    </xf>
    <xf numFmtId="0" fontId="3" fillId="0" borderId="31" xfId="0" applyFont="1" applyBorder="1" applyAlignment="1">
      <alignment horizontal="center" vertical="center"/>
    </xf>
    <xf numFmtId="0" fontId="3" fillId="2" borderId="22" xfId="0" applyFont="1" applyFill="1" applyBorder="1" applyAlignment="1">
      <alignment horizontal="center" vertical="center"/>
    </xf>
    <xf numFmtId="0" fontId="3" fillId="2" borderId="18" xfId="0" applyFont="1" applyFill="1" applyBorder="1" applyAlignment="1">
      <alignment horizontal="center" vertical="center"/>
    </xf>
    <xf numFmtId="0" fontId="7" fillId="3" borderId="113"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115" xfId="0" applyFont="1" applyFill="1" applyBorder="1" applyAlignment="1" applyProtection="1">
      <alignment horizontal="center" vertical="center" shrinkToFit="1"/>
      <protection locked="0"/>
    </xf>
    <xf numFmtId="0" fontId="3" fillId="0" borderId="43" xfId="0" applyFont="1" applyBorder="1" applyAlignment="1">
      <alignment horizontal="center" wrapText="1"/>
    </xf>
    <xf numFmtId="0" fontId="3" fillId="0" borderId="45" xfId="0" applyFont="1" applyBorder="1" applyAlignment="1">
      <alignment horizontal="center" wrapText="1"/>
    </xf>
    <xf numFmtId="0" fontId="3" fillId="0" borderId="43" xfId="0" applyFont="1" applyBorder="1" applyAlignment="1">
      <alignment horizontal="center"/>
    </xf>
    <xf numFmtId="0" fontId="3" fillId="0" borderId="45" xfId="0" applyFont="1" applyBorder="1" applyAlignment="1">
      <alignment horizontal="center"/>
    </xf>
    <xf numFmtId="0" fontId="18" fillId="0" borderId="47" xfId="0" applyFont="1" applyFill="1" applyBorder="1" applyAlignment="1" applyProtection="1">
      <alignment horizontal="center" vertical="center"/>
    </xf>
    <xf numFmtId="0" fontId="19" fillId="0" borderId="48"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3" fillId="0" borderId="46" xfId="0" applyFont="1" applyFill="1" applyBorder="1" applyAlignment="1">
      <alignment horizontal="center" vertical="center"/>
    </xf>
    <xf numFmtId="0" fontId="18" fillId="0" borderId="37" xfId="0" applyFont="1" applyFill="1" applyBorder="1" applyAlignment="1" applyProtection="1">
      <alignment horizontal="center" vertical="center"/>
    </xf>
    <xf numFmtId="0" fontId="19" fillId="0" borderId="38"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3" fillId="0" borderId="42" xfId="0" applyFont="1" applyFill="1" applyBorder="1" applyAlignment="1">
      <alignment horizontal="center" vertical="center"/>
    </xf>
    <xf numFmtId="0" fontId="7" fillId="3" borderId="67" xfId="0" applyFont="1" applyFill="1" applyBorder="1" applyAlignment="1" applyProtection="1">
      <alignment horizontal="center" vertical="center" shrinkToFit="1"/>
      <protection locked="0"/>
    </xf>
    <xf numFmtId="0" fontId="7" fillId="3" borderId="45" xfId="0" applyFont="1" applyFill="1" applyBorder="1" applyAlignment="1" applyProtection="1">
      <alignment horizontal="center" vertical="center" shrinkToFit="1"/>
      <protection locked="0"/>
    </xf>
    <xf numFmtId="0" fontId="8" fillId="0" borderId="116" xfId="0" applyFont="1" applyBorder="1" applyAlignment="1">
      <alignment horizontal="center" vertical="center"/>
    </xf>
    <xf numFmtId="0" fontId="8" fillId="0" borderId="84" xfId="0" applyFont="1" applyBorder="1" applyAlignment="1">
      <alignment horizontal="center" vertical="center"/>
    </xf>
    <xf numFmtId="0" fontId="7" fillId="3" borderId="93"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center" vertical="center"/>
    </xf>
    <xf numFmtId="0" fontId="19" fillId="0" borderId="73" xfId="0" applyFont="1" applyFill="1" applyBorder="1" applyAlignment="1" applyProtection="1">
      <alignment horizontal="center" vertical="center"/>
    </xf>
    <xf numFmtId="178" fontId="3" fillId="0" borderId="22" xfId="0" applyNumberFormat="1" applyFont="1" applyBorder="1" applyAlignment="1">
      <alignment horizontal="center" vertical="center"/>
    </xf>
    <xf numFmtId="179" fontId="7" fillId="3" borderId="28" xfId="0" applyNumberFormat="1"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178" fontId="3" fillId="0" borderId="97" xfId="0" applyNumberFormat="1" applyFont="1" applyBorder="1" applyAlignment="1">
      <alignment horizontal="center" vertical="center"/>
    </xf>
    <xf numFmtId="179" fontId="7" fillId="3" borderId="42" xfId="0" applyNumberFormat="1" applyFont="1" applyFill="1" applyBorder="1" applyAlignment="1" applyProtection="1">
      <alignment horizontal="center" vertical="center" shrinkToFit="1"/>
      <protection locked="0"/>
    </xf>
    <xf numFmtId="0" fontId="3" fillId="0" borderId="0" xfId="0" applyFont="1" applyAlignment="1">
      <alignment horizontal="center"/>
    </xf>
    <xf numFmtId="0" fontId="18" fillId="0" borderId="74" xfId="0" applyFont="1" applyFill="1" applyBorder="1" applyAlignment="1" applyProtection="1">
      <alignment horizontal="center" vertical="center"/>
    </xf>
    <xf numFmtId="0" fontId="18" fillId="0" borderId="8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87"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0" fontId="18" fillId="0" borderId="112"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7" xfId="0" applyFont="1" applyFill="1" applyBorder="1" applyAlignment="1">
      <alignment horizontal="center" vertical="center"/>
    </xf>
    <xf numFmtId="0" fontId="7" fillId="3" borderId="108" xfId="0" applyFont="1" applyFill="1" applyBorder="1" applyAlignment="1" applyProtection="1">
      <alignment horizontal="center" vertical="center" shrinkToFit="1"/>
      <protection locked="0"/>
    </xf>
    <xf numFmtId="0" fontId="7" fillId="3" borderId="109" xfId="0" applyFont="1" applyFill="1" applyBorder="1" applyAlignment="1" applyProtection="1">
      <alignment horizontal="center" vertical="center" shrinkToFit="1"/>
      <protection locked="0"/>
    </xf>
    <xf numFmtId="178" fontId="3" fillId="0" borderId="98" xfId="0" applyNumberFormat="1" applyFont="1" applyBorder="1" applyAlignment="1">
      <alignment horizontal="center" vertical="center"/>
    </xf>
    <xf numFmtId="178" fontId="3" fillId="0" borderId="96" xfId="0" applyNumberFormat="1"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178" fontId="3" fillId="0" borderId="56" xfId="0" applyNumberFormat="1" applyFont="1" applyBorder="1" applyAlignment="1">
      <alignment horizontal="center" vertical="center"/>
    </xf>
    <xf numFmtId="0" fontId="18" fillId="0" borderId="15" xfId="0" applyFont="1" applyFill="1" applyBorder="1" applyAlignment="1">
      <alignment horizontal="center" vertical="center"/>
    </xf>
    <xf numFmtId="0" fontId="18" fillId="0" borderId="81" xfId="0" applyFont="1" applyFill="1" applyBorder="1" applyAlignment="1">
      <alignment horizontal="center" vertical="center"/>
    </xf>
    <xf numFmtId="179" fontId="7" fillId="3" borderId="74" xfId="0" applyNumberFormat="1" applyFont="1" applyFill="1" applyBorder="1" applyAlignment="1" applyProtection="1">
      <alignment horizontal="center" vertical="center" shrinkToFit="1"/>
      <protection locked="0"/>
    </xf>
    <xf numFmtId="179" fontId="7" fillId="3" borderId="75" xfId="0" applyNumberFormat="1" applyFont="1" applyFill="1" applyBorder="1" applyAlignment="1" applyProtection="1">
      <alignment horizontal="center" vertical="center" shrinkToFit="1"/>
      <protection locked="0"/>
    </xf>
    <xf numFmtId="0" fontId="18" fillId="0" borderId="80" xfId="0" applyFont="1" applyFill="1" applyBorder="1" applyAlignment="1">
      <alignment horizontal="center" vertical="center"/>
    </xf>
    <xf numFmtId="0" fontId="18" fillId="0" borderId="0" xfId="0" applyFont="1" applyFill="1" applyBorder="1" applyAlignment="1">
      <alignment horizontal="center" vertical="center"/>
    </xf>
    <xf numFmtId="178" fontId="3" fillId="0" borderId="99" xfId="0" applyNumberFormat="1" applyFont="1" applyBorder="1" applyAlignment="1">
      <alignment horizontal="center" vertical="center"/>
    </xf>
    <xf numFmtId="178" fontId="3" fillId="0" borderId="100" xfId="0" applyNumberFormat="1" applyFont="1" applyBorder="1" applyAlignment="1">
      <alignment horizontal="center" vertical="center"/>
    </xf>
  </cellXfs>
  <cellStyles count="3">
    <cellStyle name="桁区切り" xfId="1" builtinId="6"/>
    <cellStyle name="標準" xfId="0" builtinId="0"/>
    <cellStyle name="標準 2" xfId="2"/>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073" name="グループ化 4"/>
        <xdr:cNvGrpSpPr>
          <a:grpSpLocks/>
        </xdr:cNvGrpSpPr>
      </xdr:nvGrpSpPr>
      <xdr:grpSpPr bwMode="auto">
        <a:xfrm>
          <a:off x="447675" y="6096000"/>
          <a:ext cx="1609725" cy="3457575"/>
          <a:chOff x="381000" y="5495925"/>
          <a:chExt cx="1609725" cy="2628900"/>
        </a:xfrm>
      </xdr:grpSpPr>
      <xdr:pic>
        <xdr:nvPicPr>
          <xdr:cNvPr id="850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9525</xdr:colOff>
      <xdr:row>28</xdr:row>
      <xdr:rowOff>47625</xdr:rowOff>
    </xdr:from>
    <xdr:to>
      <xdr:col>53</xdr:col>
      <xdr:colOff>28575</xdr:colOff>
      <xdr:row>37</xdr:row>
      <xdr:rowOff>161925</xdr:rowOff>
    </xdr:to>
    <xdr:pic>
      <xdr:nvPicPr>
        <xdr:cNvPr id="85074"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334375" y="7543800"/>
          <a:ext cx="5438775" cy="2447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342" name="グループ化 2"/>
        <xdr:cNvGrpSpPr>
          <a:grpSpLocks/>
        </xdr:cNvGrpSpPr>
      </xdr:nvGrpSpPr>
      <xdr:grpSpPr bwMode="auto">
        <a:xfrm>
          <a:off x="447675" y="6096000"/>
          <a:ext cx="1609725" cy="3457575"/>
          <a:chOff x="381000" y="5495925"/>
          <a:chExt cx="1609725" cy="2628900"/>
        </a:xfrm>
      </xdr:grpSpPr>
      <xdr:pic>
        <xdr:nvPicPr>
          <xdr:cNvPr id="9834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47625</xdr:colOff>
      <xdr:row>28</xdr:row>
      <xdr:rowOff>66675</xdr:rowOff>
    </xdr:from>
    <xdr:to>
      <xdr:col>52</xdr:col>
      <xdr:colOff>676275</xdr:colOff>
      <xdr:row>37</xdr:row>
      <xdr:rowOff>180975</xdr:rowOff>
    </xdr:to>
    <xdr:pic>
      <xdr:nvPicPr>
        <xdr:cNvPr id="98343"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334375" y="7562850"/>
          <a:ext cx="5400675" cy="2447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367" name="グループ化 2"/>
        <xdr:cNvGrpSpPr>
          <a:grpSpLocks/>
        </xdr:cNvGrpSpPr>
      </xdr:nvGrpSpPr>
      <xdr:grpSpPr bwMode="auto">
        <a:xfrm>
          <a:off x="447675" y="6105525"/>
          <a:ext cx="1609725" cy="3457575"/>
          <a:chOff x="381000" y="5495925"/>
          <a:chExt cx="1609725" cy="2628900"/>
        </a:xfrm>
      </xdr:grpSpPr>
      <xdr:pic>
        <xdr:nvPicPr>
          <xdr:cNvPr id="993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368"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201025" y="10182225"/>
          <a:ext cx="5400675" cy="2447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392" name="グループ化 2"/>
        <xdr:cNvGrpSpPr>
          <a:grpSpLocks/>
        </xdr:cNvGrpSpPr>
      </xdr:nvGrpSpPr>
      <xdr:grpSpPr bwMode="auto">
        <a:xfrm>
          <a:off x="457200" y="6105525"/>
          <a:ext cx="1609725" cy="3457575"/>
          <a:chOff x="381000" y="5495925"/>
          <a:chExt cx="1609725" cy="2628900"/>
        </a:xfrm>
      </xdr:grpSpPr>
      <xdr:pic>
        <xdr:nvPicPr>
          <xdr:cNvPr id="10039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323850</xdr:colOff>
      <xdr:row>47</xdr:row>
      <xdr:rowOff>66675</xdr:rowOff>
    </xdr:to>
    <xdr:pic>
      <xdr:nvPicPr>
        <xdr:cNvPr id="100393" name="図 5"/>
        <xdr:cNvPicPr>
          <a:picLocks noChangeAspect="1" noChangeArrowheads="1"/>
        </xdr:cNvPicPr>
      </xdr:nvPicPr>
      <xdr:blipFill>
        <a:blip xmlns:r="http://schemas.openxmlformats.org/officeDocument/2006/relationships" r:embed="rId2" cstate="print"/>
        <a:srcRect/>
        <a:stretch>
          <a:fillRect/>
        </a:stretch>
      </xdr:blipFill>
      <xdr:spPr bwMode="auto">
        <a:xfrm>
          <a:off x="7962900" y="10058400"/>
          <a:ext cx="5419725" cy="2447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13" name="グループ化 2"/>
        <xdr:cNvGrpSpPr>
          <a:grpSpLocks/>
        </xdr:cNvGrpSpPr>
      </xdr:nvGrpSpPr>
      <xdr:grpSpPr bwMode="auto">
        <a:xfrm>
          <a:off x="457200" y="6096000"/>
          <a:ext cx="1609725" cy="3457575"/>
          <a:chOff x="381000" y="5495925"/>
          <a:chExt cx="1609725" cy="2628900"/>
        </a:xfrm>
      </xdr:grpSpPr>
      <xdr:pic>
        <xdr:nvPicPr>
          <xdr:cNvPr id="10141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390525</xdr:colOff>
      <xdr:row>47</xdr:row>
      <xdr:rowOff>85725</xdr:rowOff>
    </xdr:to>
    <xdr:pic>
      <xdr:nvPicPr>
        <xdr:cNvPr id="101414"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029575" y="10077450"/>
          <a:ext cx="5419725" cy="2447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438" name="グループ化 2"/>
        <xdr:cNvGrpSpPr>
          <a:grpSpLocks/>
        </xdr:cNvGrpSpPr>
      </xdr:nvGrpSpPr>
      <xdr:grpSpPr bwMode="auto">
        <a:xfrm>
          <a:off x="447675" y="6096000"/>
          <a:ext cx="1609725" cy="3457575"/>
          <a:chOff x="381000" y="5495925"/>
          <a:chExt cx="1609725" cy="2628900"/>
        </a:xfrm>
      </xdr:grpSpPr>
      <xdr:pic>
        <xdr:nvPicPr>
          <xdr:cNvPr id="102440"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466725</xdr:colOff>
      <xdr:row>45</xdr:row>
      <xdr:rowOff>228600</xdr:rowOff>
    </xdr:to>
    <xdr:pic>
      <xdr:nvPicPr>
        <xdr:cNvPr id="102439"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105775" y="9667875"/>
          <a:ext cx="5419725" cy="2447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461" name="グループ化 2"/>
        <xdr:cNvGrpSpPr>
          <a:grpSpLocks/>
        </xdr:cNvGrpSpPr>
      </xdr:nvGrpSpPr>
      <xdr:grpSpPr bwMode="auto">
        <a:xfrm>
          <a:off x="447675" y="6096000"/>
          <a:ext cx="1609725" cy="3457575"/>
          <a:chOff x="381000" y="5495925"/>
          <a:chExt cx="1609725" cy="2628900"/>
        </a:xfrm>
      </xdr:grpSpPr>
      <xdr:pic>
        <xdr:nvPicPr>
          <xdr:cNvPr id="10346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114300</xdr:colOff>
      <xdr:row>37</xdr:row>
      <xdr:rowOff>161925</xdr:rowOff>
    </xdr:to>
    <xdr:pic>
      <xdr:nvPicPr>
        <xdr:cNvPr id="103462"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334375" y="7543800"/>
          <a:ext cx="5524500" cy="2447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486" name="グループ化 2"/>
        <xdr:cNvGrpSpPr>
          <a:grpSpLocks/>
        </xdr:cNvGrpSpPr>
      </xdr:nvGrpSpPr>
      <xdr:grpSpPr bwMode="auto">
        <a:xfrm>
          <a:off x="457200" y="6105525"/>
          <a:ext cx="1609725" cy="3457575"/>
          <a:chOff x="381000" y="5495925"/>
          <a:chExt cx="1609725" cy="2628900"/>
        </a:xfrm>
      </xdr:grpSpPr>
      <xdr:pic>
        <xdr:nvPicPr>
          <xdr:cNvPr id="10448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extLst>
          </xdr:cNvPr>
          <xdr:cNvSpPr txBox="1"/>
        </xdr:nvSpPr>
        <xdr:spPr>
          <a:xfrm>
            <a:off x="447675" y="7813413"/>
            <a:ext cx="1466850" cy="31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619125</xdr:colOff>
      <xdr:row>39</xdr:row>
      <xdr:rowOff>76200</xdr:rowOff>
    </xdr:to>
    <xdr:pic>
      <xdr:nvPicPr>
        <xdr:cNvPr id="104487" name="図 5"/>
        <xdr:cNvPicPr>
          <a:picLocks noChangeAspect="1" noChangeArrowheads="1"/>
        </xdr:cNvPicPr>
      </xdr:nvPicPr>
      <xdr:blipFill>
        <a:blip xmlns:r="http://schemas.openxmlformats.org/officeDocument/2006/relationships" r:embed="rId2" cstate="print"/>
        <a:srcRect/>
        <a:stretch>
          <a:fillRect/>
        </a:stretch>
      </xdr:blipFill>
      <xdr:spPr bwMode="auto">
        <a:xfrm>
          <a:off x="8477250" y="7858125"/>
          <a:ext cx="5343525" cy="2447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547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485900" y="8362950"/>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5476" name="グループ化 32"/>
        <xdr:cNvGrpSpPr>
          <a:grpSpLocks/>
        </xdr:cNvGrpSpPr>
      </xdr:nvGrpSpPr>
      <xdr:grpSpPr bwMode="auto">
        <a:xfrm>
          <a:off x="2619375" y="609600"/>
          <a:ext cx="2905125" cy="2266950"/>
          <a:chOff x="159196" y="7833807"/>
          <a:chExt cx="3651576" cy="2925781"/>
        </a:xfrm>
      </xdr:grpSpPr>
      <xdr:sp macro="" textlink="">
        <xdr:nvSpPr>
          <xdr:cNvPr id="6" name="正方形/長方形 5">
            <a:extLst>
              <a:ext uri="{FF2B5EF4-FFF2-40B4-BE49-F238E27FC236}"/>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5478" name="グループ化 31"/>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codeName="Sheet1"/>
  <dimension ref="A1:B8"/>
  <sheetViews>
    <sheetView showGridLines="0" view="pageBreakPreview" zoomScaleNormal="100" zoomScaleSheetLayoutView="100" workbookViewId="0">
      <selection activeCell="C1" sqref="C1"/>
    </sheetView>
  </sheetViews>
  <sheetFormatPr defaultRowHeight="13.5"/>
  <cols>
    <col min="1" max="1" width="4.75" style="84" customWidth="1"/>
    <col min="2" max="2" width="83.875" style="84" customWidth="1"/>
    <col min="3" max="16384" width="9" style="84"/>
  </cols>
  <sheetData>
    <row r="1" spans="1:2" ht="25.5" customHeight="1">
      <c r="A1" s="98" t="s">
        <v>197</v>
      </c>
      <c r="B1" s="98"/>
    </row>
    <row r="3" spans="1:2" ht="40.5">
      <c r="A3" s="84" t="s">
        <v>198</v>
      </c>
      <c r="B3" s="85" t="s">
        <v>199</v>
      </c>
    </row>
    <row r="4" spans="1:2" ht="116.25" customHeight="1">
      <c r="A4" s="86" t="s">
        <v>200</v>
      </c>
      <c r="B4" s="85" t="s">
        <v>229</v>
      </c>
    </row>
    <row r="5" spans="1:2" ht="102">
      <c r="A5" s="86" t="s">
        <v>201</v>
      </c>
      <c r="B5" s="85" t="s">
        <v>202</v>
      </c>
    </row>
    <row r="6" spans="1:2" ht="51">
      <c r="A6" s="87" t="s">
        <v>205</v>
      </c>
      <c r="B6" s="88" t="s">
        <v>230</v>
      </c>
    </row>
    <row r="8" spans="1:2">
      <c r="A8" s="86" t="s">
        <v>231</v>
      </c>
      <c r="B8" s="84" t="s">
        <v>232</v>
      </c>
    </row>
  </sheetData>
  <sheetProtection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1.8[H28]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sheetPr codeName="Sheet10"/>
  <dimension ref="B1:AO106"/>
  <sheetViews>
    <sheetView showGridLines="0" view="pageBreakPreview" zoomScaleNormal="100" zoomScaleSheetLayoutView="100" workbookViewId="0">
      <selection activeCell="B8" sqref="B8:C8"/>
    </sheetView>
  </sheetViews>
  <sheetFormatPr defaultRowHeight="13.5"/>
  <cols>
    <col min="1" max="1" width="0.875" style="52" customWidth="1"/>
    <col min="2" max="10" width="3.875" style="52" customWidth="1"/>
    <col min="11" max="11" width="4.125" style="52" customWidth="1"/>
    <col min="12" max="26" width="3.875" style="52" customWidth="1"/>
    <col min="27" max="27" width="5.5" style="52" customWidth="1"/>
    <col min="28"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115</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60">
        <f ca="1">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0.42699999999999999</v>
      </c>
      <c r="W4" s="361"/>
      <c r="X4" s="360">
        <f ca="1">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0.317</v>
      </c>
      <c r="Y4" s="361"/>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c r="C8" s="349"/>
      <c r="D8" s="194"/>
      <c r="E8" s="195"/>
      <c r="F8" s="195"/>
      <c r="G8" s="221"/>
      <c r="H8" s="226"/>
      <c r="I8" s="226"/>
      <c r="J8" s="226"/>
      <c r="K8" s="226"/>
      <c r="L8" s="199"/>
      <c r="M8" s="199"/>
      <c r="N8" s="305"/>
      <c r="O8" s="306"/>
      <c r="P8" s="307"/>
      <c r="Q8" s="308"/>
      <c r="R8" s="347"/>
      <c r="S8" s="348"/>
      <c r="T8" s="317"/>
      <c r="U8" s="307"/>
      <c r="V8" s="207" t="str">
        <f>IF(D8="","",AD8)</f>
        <v/>
      </c>
      <c r="W8" s="207"/>
      <c r="X8" s="207" t="str">
        <f t="shared" ref="X8:X19" si="0">IF(D8="","",IF(ISERROR(AE8),"-",AE8))</f>
        <v/>
      </c>
      <c r="Y8" s="207"/>
      <c r="Z8" s="207" t="str">
        <f>IF(D8="","",D8*F8*AN8)</f>
        <v/>
      </c>
      <c r="AA8" s="208"/>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 ca="1">IF(共通条件・結果!$AA$7="８地域",H8,IF(AO8="FALSE",H8,IF(L8="風除室",1/((1/H8)+0.1),0.5*H8+0.5*(1/((1/H8)+AO8)))))</f>
        <v>0</v>
      </c>
      <c r="AO8" s="39" t="str">
        <f t="shared" ref="AO8:AO19" si="1">IF(L8="","FALSE",IF(L8="雨戸",0.1,IF(L8="ｼｬｯﾀｰ",0.1,IF(L8="障子",0.18,IF(L8="風除室",0.1)))))</f>
        <v>FALSE</v>
      </c>
    </row>
    <row r="9" spans="2:41" s="37" customFormat="1" ht="21.95" customHeight="1">
      <c r="B9" s="218"/>
      <c r="C9" s="350"/>
      <c r="D9" s="318"/>
      <c r="E9" s="278"/>
      <c r="F9" s="278"/>
      <c r="G9" s="279"/>
      <c r="H9" s="254"/>
      <c r="I9" s="254"/>
      <c r="J9" s="254"/>
      <c r="K9" s="254"/>
      <c r="L9" s="227" t="s">
        <v>65</v>
      </c>
      <c r="M9" s="227"/>
      <c r="N9" s="300"/>
      <c r="O9" s="301"/>
      <c r="P9" s="297"/>
      <c r="Q9" s="298"/>
      <c r="R9" s="302"/>
      <c r="S9" s="303"/>
      <c r="T9" s="296"/>
      <c r="U9" s="297"/>
      <c r="V9" s="174" t="str">
        <f t="shared" ref="V9:V19" si="2">IF(D9="","",AD9)</f>
        <v/>
      </c>
      <c r="W9" s="174"/>
      <c r="X9" s="174" t="str">
        <f t="shared" si="0"/>
        <v/>
      </c>
      <c r="Y9" s="174"/>
      <c r="Z9" s="174" t="str">
        <f t="shared" ref="Z9:Z19" si="3">IF(D9="","",D9*F9*AN9)</f>
        <v/>
      </c>
      <c r="AA9" s="175"/>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 ca="1">IF(共通条件・結果!$AA$7="８地域",H9,IF(AO9="FALSE",H9,IF(L9="風除室",1/((1/H9)+0.1),0.5*H9+0.5*(1/((1/H9)+AO9)))))</f>
        <v>#DIV/0!</v>
      </c>
      <c r="AO9" s="39" t="b">
        <f t="shared" si="1"/>
        <v>0</v>
      </c>
    </row>
    <row r="10" spans="2:41" s="37" customFormat="1" ht="21.95" customHeight="1">
      <c r="B10" s="218"/>
      <c r="C10" s="350"/>
      <c r="D10" s="318"/>
      <c r="E10" s="278"/>
      <c r="F10" s="278"/>
      <c r="G10" s="279"/>
      <c r="H10" s="254"/>
      <c r="I10" s="254"/>
      <c r="J10" s="254"/>
      <c r="K10" s="254"/>
      <c r="L10" s="227" t="s">
        <v>65</v>
      </c>
      <c r="M10" s="227"/>
      <c r="N10" s="300"/>
      <c r="O10" s="301"/>
      <c r="P10" s="298"/>
      <c r="Q10" s="299"/>
      <c r="R10" s="295"/>
      <c r="S10" s="299"/>
      <c r="T10" s="295"/>
      <c r="U10" s="296"/>
      <c r="V10" s="174" t="str">
        <f t="shared" si="2"/>
        <v/>
      </c>
      <c r="W10" s="174"/>
      <c r="X10" s="174" t="str">
        <f t="shared" si="0"/>
        <v/>
      </c>
      <c r="Y10" s="174"/>
      <c r="Z10" s="174" t="str">
        <f t="shared" si="3"/>
        <v/>
      </c>
      <c r="AA10" s="175"/>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 ca="1">IF(共通条件・結果!$AA$7="８地域",H10,IF(AO10="FALSE",H10,IF(L10="風除室",1/((1/H10)+0.1),0.5*H10+0.5*(1/((1/H10)+AO10)))))</f>
        <v>#DIV/0!</v>
      </c>
      <c r="AO10" s="39" t="b">
        <f t="shared" si="1"/>
        <v>0</v>
      </c>
    </row>
    <row r="11" spans="2:41" s="37" customFormat="1" ht="21.95" customHeight="1">
      <c r="B11" s="218"/>
      <c r="C11" s="350"/>
      <c r="D11" s="318"/>
      <c r="E11" s="278"/>
      <c r="F11" s="278"/>
      <c r="G11" s="279"/>
      <c r="H11" s="254"/>
      <c r="I11" s="254"/>
      <c r="J11" s="254"/>
      <c r="K11" s="254"/>
      <c r="L11" s="227" t="s">
        <v>65</v>
      </c>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 ca="1">IF(共通条件・結果!$AA$7="８地域",H11,IF(AO11="FALSE",H11,IF(L11="風除室",1/((1/H11)+0.1),0.5*H11+0.5*(1/((1/H11)+AO11)))))</f>
        <v>#DIV/0!</v>
      </c>
      <c r="AO11" s="39" t="b">
        <f t="shared" si="1"/>
        <v>0</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0.01*(16+24*(2*R12+T12)/P12)</f>
        <v>#DIV/0!</v>
      </c>
      <c r="AL12" s="37" t="e">
        <f>0.01*(10+15*(2*R12+T12)/P12)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0.01*(16+24*(2*R13+T13)/P13)</f>
        <v>#DIV/0!</v>
      </c>
      <c r="AL13" s="37" t="e">
        <f>0.01*(10+15*(2*R13+T13)/P13)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 ca="1">IF(共通条件・結果!$AA$7="８地域",H19,IF(AO19="FALSE",H19,IF(L19="風除室",1/((1/H19)+0.1),0.5*H19+0.5*(1/((1/H19)+AO19)))))</f>
        <v>#DIV/0!</v>
      </c>
      <c r="AO19" s="39" t="b">
        <f t="shared" si="1"/>
        <v>0</v>
      </c>
    </row>
    <row r="20" spans="2:41" s="37" customFormat="1" ht="21.95" customHeight="1" thickBot="1">
      <c r="B20" s="197" t="s">
        <v>135</v>
      </c>
      <c r="C20" s="198"/>
      <c r="D20" s="198"/>
      <c r="E20" s="198"/>
      <c r="F20" s="198"/>
      <c r="G20" s="198"/>
      <c r="H20" s="198"/>
      <c r="I20" s="198"/>
      <c r="J20" s="198"/>
      <c r="K20" s="198"/>
      <c r="L20" s="198"/>
      <c r="M20" s="198"/>
      <c r="N20" s="198"/>
      <c r="O20" s="198"/>
      <c r="P20" s="198"/>
      <c r="Q20" s="198"/>
      <c r="R20" s="198"/>
      <c r="S20" s="198"/>
      <c r="T20" s="198"/>
      <c r="U20" s="198"/>
      <c r="V20" s="184">
        <f>SUM(V8:W19)</f>
        <v>0</v>
      </c>
      <c r="W20" s="184"/>
      <c r="X20" s="184">
        <f>SUM(X8:Y19)</f>
        <v>0</v>
      </c>
      <c r="Y20" s="184"/>
      <c r="Z20" s="184">
        <f>SUM(Z8:AA19)</f>
        <v>0</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149</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D31" s="40"/>
      <c r="AE31" s="40"/>
      <c r="AF31" s="40"/>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c r="K33" s="233"/>
      <c r="L33" s="246"/>
      <c r="M33" s="247"/>
      <c r="N33" s="246"/>
      <c r="O33" s="247"/>
      <c r="P33" s="244" t="str">
        <f>IF(L33="","",L33-N33)</f>
        <v/>
      </c>
      <c r="Q33" s="245"/>
      <c r="R33" s="226"/>
      <c r="S33" s="226"/>
      <c r="T33" s="230"/>
      <c r="U33" s="230"/>
      <c r="V33" s="172" t="str">
        <f>IF(P33="","",IF(AD33=TRUE,0,P33*R33*0.034*$V$4))</f>
        <v/>
      </c>
      <c r="W33" s="172"/>
      <c r="X33" s="181" t="str">
        <f>IF(P33="","",IF(ISERROR(P33*R33*0.034*$X$4),"-",IF(AD33=TRUE,0,P33*R33*0.034*$X$4)))</f>
        <v/>
      </c>
      <c r="Y33" s="182"/>
      <c r="Z33" s="172" t="str">
        <f>IF(R33="","",IF(AD33=TRUE,0.7*R33*P33,R33*P33))</f>
        <v/>
      </c>
      <c r="AA33" s="173"/>
      <c r="AD33" s="40" t="b">
        <v>0</v>
      </c>
      <c r="AE33" s="40">
        <f>IF(AD33=TRUE,0.7,1)</f>
        <v>1</v>
      </c>
      <c r="AF33" s="40" t="str">
        <f>IF(AD33=TRUE,0,"セル")</f>
        <v>セル</v>
      </c>
    </row>
    <row r="34" spans="2:32" s="37" customFormat="1" ht="21.95" customHeight="1">
      <c r="C34" s="41"/>
      <c r="D34" s="41"/>
      <c r="E34" s="41"/>
      <c r="F34" s="41"/>
      <c r="G34" s="41"/>
      <c r="H34" s="41"/>
      <c r="I34" s="41"/>
      <c r="J34" s="218"/>
      <c r="K34" s="220"/>
      <c r="L34" s="192"/>
      <c r="M34" s="193"/>
      <c r="N34" s="192"/>
      <c r="O34" s="193"/>
      <c r="P34" s="242" t="str">
        <f>IF(L34="","",L34-N34)</f>
        <v/>
      </c>
      <c r="Q34" s="243"/>
      <c r="R34" s="192"/>
      <c r="S34" s="193"/>
      <c r="T34" s="228"/>
      <c r="U34" s="229"/>
      <c r="V34" s="176" t="str">
        <f>IF(P34="","",IF(AD34=TRUE,0,P34*R34*0.034*$V$4))</f>
        <v/>
      </c>
      <c r="W34" s="177"/>
      <c r="X34" s="176" t="str">
        <f>IF(P34="","",IF(ISERROR(P34*R34*0.034*$X$4),"-",IF(AD34=TRUE,0,P34*R34*0.034*$X$4)))</f>
        <v/>
      </c>
      <c r="Y34" s="177"/>
      <c r="Z34" s="176" t="str">
        <f>IF(R34="","",IF(AD34=TRUE,0.7*R34*P34,R34*P34))</f>
        <v/>
      </c>
      <c r="AA34" s="178"/>
      <c r="AD34" s="40" t="b">
        <v>0</v>
      </c>
      <c r="AE34" s="40">
        <f>IF(AD34=TRUE,0.7,1)</f>
        <v>1</v>
      </c>
      <c r="AF34" s="40" t="str">
        <f>IF(AD34=TRUE,0,"セル")</f>
        <v>セル</v>
      </c>
    </row>
    <row r="35" spans="2:32" s="37" customFormat="1" ht="21.95" customHeight="1">
      <c r="C35" s="41"/>
      <c r="D35" s="41"/>
      <c r="E35" s="41"/>
      <c r="F35" s="41"/>
      <c r="G35" s="41"/>
      <c r="H35" s="41"/>
      <c r="I35" s="41"/>
      <c r="J35" s="218"/>
      <c r="K35" s="220"/>
      <c r="L35" s="192"/>
      <c r="M35" s="193"/>
      <c r="N35" s="192"/>
      <c r="O35" s="193"/>
      <c r="P35" s="242" t="str">
        <f>IF(L35="","",L35-N35)</f>
        <v/>
      </c>
      <c r="Q35" s="243"/>
      <c r="R35" s="192"/>
      <c r="S35" s="193"/>
      <c r="T35" s="228"/>
      <c r="U35" s="229"/>
      <c r="V35" s="176" t="str">
        <f>IF(P35="","",IF(AD35=TRUE,0,P35*R35*0.034*$V$4))</f>
        <v/>
      </c>
      <c r="W35" s="177"/>
      <c r="X35" s="176" t="str">
        <f>IF(P35="","",IF(ISERROR(P35*R35*0.034*$X$4),"-",IF(AD35=TRUE,0,P35*R35*0.034*$X$4)))</f>
        <v/>
      </c>
      <c r="Y35" s="177"/>
      <c r="Z35" s="176" t="str">
        <f>IF(R35="","",IF(AD35=TRUE,0.7*R35*P35,R35*P35))</f>
        <v/>
      </c>
      <c r="AA35" s="178"/>
      <c r="AD35" s="40" t="b">
        <v>0</v>
      </c>
      <c r="AE35" s="40">
        <f>IF(AD35=TRUE,0.7,1)</f>
        <v>1</v>
      </c>
      <c r="AF35" s="40" t="str">
        <f>IF(AD35=TRUE,0,"セル")</f>
        <v>セル</v>
      </c>
    </row>
    <row r="36" spans="2:32" s="37" customFormat="1" ht="21.95" customHeight="1">
      <c r="C36" s="41"/>
      <c r="D36" s="41"/>
      <c r="E36" s="41"/>
      <c r="F36" s="41"/>
      <c r="G36" s="41"/>
      <c r="H36" s="41"/>
      <c r="I36" s="41"/>
      <c r="J36" s="218"/>
      <c r="K36" s="220"/>
      <c r="L36" s="192"/>
      <c r="M36" s="193"/>
      <c r="N36" s="192"/>
      <c r="O36" s="193"/>
      <c r="P36" s="242" t="str">
        <f>IF(L36="","",L36-N36)</f>
        <v/>
      </c>
      <c r="Q36" s="243"/>
      <c r="R36" s="254"/>
      <c r="S36" s="254"/>
      <c r="T36" s="253"/>
      <c r="U36" s="253"/>
      <c r="V36" s="174" t="str">
        <f>IF(P36="","",IF(AD36=TRUE,0,P36*R36*0.034*$V$4))</f>
        <v/>
      </c>
      <c r="W36" s="174"/>
      <c r="X36" s="176" t="str">
        <f>IF(P36="","",IF(ISERROR(P36*R36*0.034*$X$4),"-",IF(AD36=TRUE,0,P36*R36*0.034*$X$4)))</f>
        <v/>
      </c>
      <c r="Y36" s="177"/>
      <c r="Z36" s="174" t="str">
        <f>IF(R36="","",IF(AD36=TRUE,0.7*R36*P36,R36*P36))</f>
        <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136</v>
      </c>
      <c r="K38" s="198"/>
      <c r="L38" s="198"/>
      <c r="M38" s="198"/>
      <c r="N38" s="198"/>
      <c r="O38" s="198"/>
      <c r="P38" s="198"/>
      <c r="Q38" s="198"/>
      <c r="R38" s="198"/>
      <c r="S38" s="198"/>
      <c r="T38" s="198"/>
      <c r="U38" s="231"/>
      <c r="V38" s="184">
        <f>SUM(V33:W37)</f>
        <v>0</v>
      </c>
      <c r="W38" s="184"/>
      <c r="X38" s="184">
        <f>SUM(X33:Y37)</f>
        <v>0</v>
      </c>
      <c r="Y38" s="184"/>
      <c r="Z38" s="184">
        <f>SUM(Z33:AA37)</f>
        <v>0</v>
      </c>
      <c r="AA38" s="189"/>
    </row>
    <row r="39" spans="2:32" s="37" customFormat="1" ht="9.9499999999999993" customHeight="1"/>
    <row r="40" spans="2:32" s="37" customFormat="1" ht="21.95" customHeight="1" thickBot="1">
      <c r="B40" s="38" t="s">
        <v>137</v>
      </c>
    </row>
    <row r="41" spans="2:32" s="37" customFormat="1" ht="21.95" customHeight="1">
      <c r="B41" s="280" t="s">
        <v>108</v>
      </c>
      <c r="C41" s="281"/>
      <c r="D41" s="273" t="s">
        <v>56</v>
      </c>
      <c r="E41" s="274"/>
      <c r="F41" s="274"/>
      <c r="G41" s="274"/>
      <c r="H41" s="274"/>
      <c r="I41" s="274"/>
      <c r="J41" s="275"/>
      <c r="K41" s="42"/>
      <c r="L41" s="276">
        <f>Q41+U41+Y41</f>
        <v>0</v>
      </c>
      <c r="M41" s="276"/>
      <c r="N41" s="276"/>
      <c r="O41" s="42" t="s">
        <v>24</v>
      </c>
      <c r="P41" s="43" t="s">
        <v>23</v>
      </c>
      <c r="Q41" s="288">
        <f>D8*F8+D9*F9+D10*F10+D11*F11+D12*F12+D13*F13+D14*F14+D15*F15+D16*F16+D17*F17+D18*F18+D19*F19</f>
        <v>0</v>
      </c>
      <c r="R41" s="288"/>
      <c r="S41" s="44" t="s">
        <v>25</v>
      </c>
      <c r="T41" s="44" t="s">
        <v>22</v>
      </c>
      <c r="U41" s="289">
        <f>N25*P25+N26*P26+N27*P27</f>
        <v>0</v>
      </c>
      <c r="V41" s="289"/>
      <c r="W41" s="44" t="s">
        <v>25</v>
      </c>
      <c r="X41" s="44" t="s">
        <v>1</v>
      </c>
      <c r="Y41" s="268">
        <f>SUM(P33:Q37)</f>
        <v>0</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0</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0</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0</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J37:K37"/>
    <mergeCell ref="L37:M37"/>
    <mergeCell ref="Z38:AA38"/>
    <mergeCell ref="V38:W38"/>
    <mergeCell ref="X38:Y38"/>
    <mergeCell ref="Z37:AA37"/>
    <mergeCell ref="V37:W37"/>
    <mergeCell ref="T37:U37"/>
    <mergeCell ref="R37:S37"/>
    <mergeCell ref="W44:Y44"/>
    <mergeCell ref="W42:Y42"/>
    <mergeCell ref="W43:Y43"/>
    <mergeCell ref="Y41:Z41"/>
    <mergeCell ref="B41:C44"/>
    <mergeCell ref="D41:J41"/>
    <mergeCell ref="L41:N41"/>
    <mergeCell ref="Q41:R41"/>
    <mergeCell ref="D43:J43"/>
    <mergeCell ref="D44:J44"/>
    <mergeCell ref="D42:J42"/>
    <mergeCell ref="J36:K36"/>
    <mergeCell ref="L36:M36"/>
    <mergeCell ref="N36:O36"/>
    <mergeCell ref="P34:Q34"/>
    <mergeCell ref="J35:K35"/>
    <mergeCell ref="P36:Q36"/>
    <mergeCell ref="J34:K34"/>
    <mergeCell ref="L34:M34"/>
    <mergeCell ref="L35:M35"/>
    <mergeCell ref="U41:V41"/>
    <mergeCell ref="X37:Y37"/>
    <mergeCell ref="N37:O37"/>
    <mergeCell ref="P37:Q37"/>
    <mergeCell ref="R36:S36"/>
    <mergeCell ref="T36:U36"/>
    <mergeCell ref="V35:W35"/>
    <mergeCell ref="X35:Y35"/>
    <mergeCell ref="J38:U38"/>
    <mergeCell ref="AN21:AO21"/>
    <mergeCell ref="X28:Y28"/>
    <mergeCell ref="Z28:AA28"/>
    <mergeCell ref="V27:W27"/>
    <mergeCell ref="V28:W28"/>
    <mergeCell ref="X27:Y27"/>
    <mergeCell ref="Z27:AA27"/>
    <mergeCell ref="Z25:AA25"/>
    <mergeCell ref="X25:Y25"/>
    <mergeCell ref="AN23:AO23"/>
    <mergeCell ref="N35:O35"/>
    <mergeCell ref="T35:U35"/>
    <mergeCell ref="P35:Q35"/>
    <mergeCell ref="R35:S35"/>
    <mergeCell ref="R34:S34"/>
    <mergeCell ref="T34:U34"/>
    <mergeCell ref="N34:O34"/>
    <mergeCell ref="X36:Y36"/>
    <mergeCell ref="V36:W36"/>
    <mergeCell ref="Z36:AA36"/>
    <mergeCell ref="Z34:AA34"/>
    <mergeCell ref="V34:W34"/>
    <mergeCell ref="V33:W33"/>
    <mergeCell ref="X33:Y33"/>
    <mergeCell ref="Z35:AA35"/>
    <mergeCell ref="V31:W32"/>
    <mergeCell ref="Z33:AA33"/>
    <mergeCell ref="X34:Y34"/>
    <mergeCell ref="T33:U33"/>
    <mergeCell ref="Z31:AA32"/>
    <mergeCell ref="X31:Y32"/>
    <mergeCell ref="T31:U32"/>
    <mergeCell ref="Z26:AA26"/>
    <mergeCell ref="X26:Y26"/>
    <mergeCell ref="Z14:AA14"/>
    <mergeCell ref="L16:M16"/>
    <mergeCell ref="V14:W14"/>
    <mergeCell ref="P19:Q19"/>
    <mergeCell ref="L18:M18"/>
    <mergeCell ref="R19:S19"/>
    <mergeCell ref="T17:U17"/>
    <mergeCell ref="T16:U16"/>
    <mergeCell ref="Z15:AA15"/>
    <mergeCell ref="Z17:AA17"/>
    <mergeCell ref="X19:Y19"/>
    <mergeCell ref="T15:U15"/>
    <mergeCell ref="X18:Y18"/>
    <mergeCell ref="V19:W19"/>
    <mergeCell ref="T18:U18"/>
    <mergeCell ref="X16:Y16"/>
    <mergeCell ref="X15:Y15"/>
    <mergeCell ref="H17:I17"/>
    <mergeCell ref="H18:I18"/>
    <mergeCell ref="R18:S18"/>
    <mergeCell ref="L15:M15"/>
    <mergeCell ref="J16:K16"/>
    <mergeCell ref="H16:I16"/>
    <mergeCell ref="P15:Q15"/>
    <mergeCell ref="P16:Q16"/>
    <mergeCell ref="D15:E15"/>
    <mergeCell ref="B15:C15"/>
    <mergeCell ref="F16:G16"/>
    <mergeCell ref="B9:C9"/>
    <mergeCell ref="D9:E9"/>
    <mergeCell ref="D10:E10"/>
    <mergeCell ref="B12:C12"/>
    <mergeCell ref="D12:E12"/>
    <mergeCell ref="D13:E13"/>
    <mergeCell ref="F17:G17"/>
    <mergeCell ref="R13:S13"/>
    <mergeCell ref="R14:S14"/>
    <mergeCell ref="P14:Q14"/>
    <mergeCell ref="T13:U13"/>
    <mergeCell ref="H9:I9"/>
    <mergeCell ref="F9:G9"/>
    <mergeCell ref="H10:I10"/>
    <mergeCell ref="F15:G15"/>
    <mergeCell ref="H15:I15"/>
    <mergeCell ref="F13:G13"/>
    <mergeCell ref="R15:S15"/>
    <mergeCell ref="J14:K14"/>
    <mergeCell ref="N12:O12"/>
    <mergeCell ref="F19:G19"/>
    <mergeCell ref="F18:G18"/>
    <mergeCell ref="N15:O15"/>
    <mergeCell ref="L12:M12"/>
    <mergeCell ref="J12:K12"/>
    <mergeCell ref="N13:O13"/>
    <mergeCell ref="B18:C18"/>
    <mergeCell ref="D18:E18"/>
    <mergeCell ref="H11:I11"/>
    <mergeCell ref="F11:G11"/>
    <mergeCell ref="F14:G14"/>
    <mergeCell ref="H13:I13"/>
    <mergeCell ref="B13:C13"/>
    <mergeCell ref="D14:E14"/>
    <mergeCell ref="H14:I14"/>
    <mergeCell ref="B14:C14"/>
    <mergeCell ref="F12:G12"/>
    <mergeCell ref="H12:I12"/>
    <mergeCell ref="B8:C8"/>
    <mergeCell ref="D6:E7"/>
    <mergeCell ref="D8:E8"/>
    <mergeCell ref="F8:G8"/>
    <mergeCell ref="AN6:AO6"/>
    <mergeCell ref="X5:Y7"/>
    <mergeCell ref="AH6:AI6"/>
    <mergeCell ref="N6:O7"/>
    <mergeCell ref="AK6:AL6"/>
    <mergeCell ref="AD6:AE6"/>
    <mergeCell ref="N5:U5"/>
    <mergeCell ref="P7:Q7"/>
    <mergeCell ref="R7:S7"/>
    <mergeCell ref="T7:U7"/>
    <mergeCell ref="V11:W11"/>
    <mergeCell ref="V10:W10"/>
    <mergeCell ref="V9:W9"/>
    <mergeCell ref="B2:AA2"/>
    <mergeCell ref="R4:U4"/>
    <mergeCell ref="V4:W4"/>
    <mergeCell ref="X4:Y4"/>
    <mergeCell ref="H5:I7"/>
    <mergeCell ref="B11:C11"/>
    <mergeCell ref="D11:E11"/>
    <mergeCell ref="B10:C10"/>
    <mergeCell ref="F10:G10"/>
    <mergeCell ref="B5:C7"/>
    <mergeCell ref="D5:G5"/>
    <mergeCell ref="J10:K10"/>
    <mergeCell ref="J5:K7"/>
    <mergeCell ref="J8:K8"/>
    <mergeCell ref="H8:I8"/>
    <mergeCell ref="J11:K11"/>
    <mergeCell ref="J9:K9"/>
    <mergeCell ref="L5:M7"/>
    <mergeCell ref="F6:G7"/>
    <mergeCell ref="L8:M8"/>
    <mergeCell ref="L9:M9"/>
    <mergeCell ref="Z9:AA9"/>
    <mergeCell ref="X9:Y9"/>
    <mergeCell ref="V5:W7"/>
    <mergeCell ref="N8:O8"/>
    <mergeCell ref="R8:S8"/>
    <mergeCell ref="Z5:AA7"/>
    <mergeCell ref="P6:U6"/>
    <mergeCell ref="V8:W8"/>
    <mergeCell ref="Z13:AA13"/>
    <mergeCell ref="Z12:AA12"/>
    <mergeCell ref="V13:W13"/>
    <mergeCell ref="X8:Y8"/>
    <mergeCell ref="Z11:AA11"/>
    <mergeCell ref="Z8:AA8"/>
    <mergeCell ref="X11:Y11"/>
    <mergeCell ref="Z10:AA10"/>
    <mergeCell ref="X10:Y10"/>
    <mergeCell ref="X12:Y12"/>
    <mergeCell ref="N10:O10"/>
    <mergeCell ref="P10:Q10"/>
    <mergeCell ref="P8:Q8"/>
    <mergeCell ref="V12:W12"/>
    <mergeCell ref="T8:U8"/>
    <mergeCell ref="R12:S12"/>
    <mergeCell ref="N9:O9"/>
    <mergeCell ref="T10:U10"/>
    <mergeCell ref="N11:O11"/>
    <mergeCell ref="P11:Q11"/>
    <mergeCell ref="R9:S9"/>
    <mergeCell ref="T9:U9"/>
    <mergeCell ref="P9:Q9"/>
    <mergeCell ref="R11:S11"/>
    <mergeCell ref="T11:U11"/>
    <mergeCell ref="R10:S10"/>
    <mergeCell ref="V15:W15"/>
    <mergeCell ref="T14:U14"/>
    <mergeCell ref="R16:S16"/>
    <mergeCell ref="N14:O14"/>
    <mergeCell ref="X13:Y13"/>
    <mergeCell ref="P12:Q12"/>
    <mergeCell ref="P13:Q13"/>
    <mergeCell ref="T12:U12"/>
    <mergeCell ref="X14:Y14"/>
    <mergeCell ref="B17:C17"/>
    <mergeCell ref="D17:E17"/>
    <mergeCell ref="B16:C16"/>
    <mergeCell ref="D16:E16"/>
    <mergeCell ref="L17:M17"/>
    <mergeCell ref="P17:Q17"/>
    <mergeCell ref="N16:O16"/>
    <mergeCell ref="N17:O17"/>
    <mergeCell ref="J17:K17"/>
    <mergeCell ref="N23:Q23"/>
    <mergeCell ref="P18:Q18"/>
    <mergeCell ref="L19:M19"/>
    <mergeCell ref="N19:O19"/>
    <mergeCell ref="N18:O18"/>
    <mergeCell ref="L31:M32"/>
    <mergeCell ref="J27:M27"/>
    <mergeCell ref="J28:U28"/>
    <mergeCell ref="R26:S26"/>
    <mergeCell ref="T26:U26"/>
    <mergeCell ref="J23:M24"/>
    <mergeCell ref="J26:M26"/>
    <mergeCell ref="J18:K18"/>
    <mergeCell ref="L10:M10"/>
    <mergeCell ref="L11:M11"/>
    <mergeCell ref="J19:K19"/>
    <mergeCell ref="J13:K13"/>
    <mergeCell ref="L14:M14"/>
    <mergeCell ref="L13:M13"/>
    <mergeCell ref="P24:Q24"/>
    <mergeCell ref="R27:S27"/>
    <mergeCell ref="N24:O24"/>
    <mergeCell ref="D19:E19"/>
    <mergeCell ref="P25:Q25"/>
    <mergeCell ref="J15:K15"/>
    <mergeCell ref="R25:S25"/>
    <mergeCell ref="N27:O27"/>
    <mergeCell ref="P27:Q27"/>
    <mergeCell ref="P26:Q26"/>
    <mergeCell ref="R17:S17"/>
    <mergeCell ref="V26:W26"/>
    <mergeCell ref="V25:W25"/>
    <mergeCell ref="T25:U25"/>
    <mergeCell ref="B20:U20"/>
    <mergeCell ref="B19:C19"/>
    <mergeCell ref="H19:I19"/>
    <mergeCell ref="T19:U19"/>
    <mergeCell ref="V23:W24"/>
    <mergeCell ref="T23:U24"/>
    <mergeCell ref="P31:Q32"/>
    <mergeCell ref="J31:K32"/>
    <mergeCell ref="N25:O25"/>
    <mergeCell ref="N26:O26"/>
    <mergeCell ref="J25:M25"/>
    <mergeCell ref="J33:K33"/>
    <mergeCell ref="N33:O33"/>
    <mergeCell ref="P33:Q33"/>
    <mergeCell ref="N31:O32"/>
    <mergeCell ref="L33:M33"/>
    <mergeCell ref="Z20:AA20"/>
    <mergeCell ref="Z23:AA24"/>
    <mergeCell ref="Z19:AA19"/>
    <mergeCell ref="V20:W20"/>
    <mergeCell ref="X20:Y20"/>
    <mergeCell ref="R33:S33"/>
    <mergeCell ref="R23:S24"/>
    <mergeCell ref="R31:S32"/>
    <mergeCell ref="X23:Y24"/>
    <mergeCell ref="T27:U27"/>
    <mergeCell ref="Z16:AA16"/>
    <mergeCell ref="X17:Y17"/>
    <mergeCell ref="V16:W16"/>
    <mergeCell ref="V18:W18"/>
    <mergeCell ref="V17:W17"/>
    <mergeCell ref="Z18:AA18"/>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worksheet>
</file>

<file path=xl/worksheets/sheet11.xml><?xml version="1.0" encoding="utf-8"?>
<worksheet xmlns="http://schemas.openxmlformats.org/spreadsheetml/2006/main" xmlns:r="http://schemas.openxmlformats.org/officeDocument/2006/relationships">
  <sheetPr codeName="Sheet11"/>
  <dimension ref="B1:AH138"/>
  <sheetViews>
    <sheetView showGridLines="0" view="pageBreakPreview" zoomScaleNormal="100" zoomScaleSheetLayoutView="100" workbookViewId="0">
      <selection activeCell="L18" sqref="L18:M18"/>
    </sheetView>
  </sheetViews>
  <sheetFormatPr defaultRowHeight="13.5"/>
  <cols>
    <col min="1" max="1" width="0.625" customWidth="1"/>
    <col min="2" max="19" width="3.875" customWidth="1"/>
    <col min="20" max="29" width="3.625" customWidth="1"/>
    <col min="30" max="31" width="11" hidden="1" customWidth="1"/>
    <col min="32" max="32" width="3.625" hidden="1" customWidth="1"/>
    <col min="33" max="34" width="9.875" hidden="1" customWidth="1"/>
    <col min="35" max="53" width="3.625" customWidth="1"/>
  </cols>
  <sheetData>
    <row r="1" spans="2:34" ht="3.75" customHeight="1"/>
    <row r="2" spans="2:34" ht="30" customHeight="1">
      <c r="B2" s="367" t="s">
        <v>57</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5"/>
      <c r="AC2" s="35"/>
    </row>
    <row r="3" spans="2:34" ht="20.100000000000001"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c r="B5" s="368" t="s">
        <v>6</v>
      </c>
      <c r="C5" s="363"/>
      <c r="D5" s="363" t="s">
        <v>91</v>
      </c>
      <c r="E5" s="363"/>
      <c r="F5" s="363"/>
      <c r="G5" s="363"/>
      <c r="H5" s="363" t="s">
        <v>7</v>
      </c>
      <c r="I5" s="363"/>
      <c r="J5" s="362" t="s">
        <v>193</v>
      </c>
      <c r="K5" s="363"/>
      <c r="L5" s="370" t="s">
        <v>10</v>
      </c>
      <c r="M5" s="371"/>
      <c r="N5" s="362" t="s">
        <v>68</v>
      </c>
      <c r="O5" s="363"/>
      <c r="P5" s="362" t="s">
        <v>67</v>
      </c>
      <c r="Q5" s="363"/>
      <c r="R5" s="363" t="s">
        <v>13</v>
      </c>
      <c r="S5" s="373"/>
      <c r="T5" s="29"/>
      <c r="U5" s="28"/>
      <c r="V5" s="28"/>
      <c r="W5" s="28"/>
      <c r="X5" s="24"/>
      <c r="Y5" s="24"/>
      <c r="Z5" s="24"/>
      <c r="AA5" s="24"/>
      <c r="AD5" s="27" t="s">
        <v>88</v>
      </c>
      <c r="AE5" s="27"/>
      <c r="AG5" s="2" t="s">
        <v>14</v>
      </c>
      <c r="AH5" s="2"/>
    </row>
    <row r="6" spans="2:34" ht="20.100000000000001" customHeight="1" thickBot="1">
      <c r="B6" s="369"/>
      <c r="C6" s="364"/>
      <c r="D6" s="381" t="s">
        <v>9</v>
      </c>
      <c r="E6" s="382"/>
      <c r="F6" s="380" t="s">
        <v>8</v>
      </c>
      <c r="G6" s="364"/>
      <c r="H6" s="364"/>
      <c r="I6" s="364"/>
      <c r="J6" s="364"/>
      <c r="K6" s="364"/>
      <c r="L6" s="372"/>
      <c r="M6" s="372"/>
      <c r="N6" s="364"/>
      <c r="O6" s="364"/>
      <c r="P6" s="364"/>
      <c r="Q6" s="364"/>
      <c r="R6" s="364"/>
      <c r="S6" s="374"/>
      <c r="T6" s="30"/>
      <c r="U6" s="31"/>
      <c r="V6" s="31"/>
      <c r="W6" s="31"/>
      <c r="X6" s="24"/>
      <c r="Y6" s="24"/>
      <c r="Z6" s="24"/>
      <c r="AA6" s="24"/>
      <c r="AD6" s="27" t="s">
        <v>86</v>
      </c>
      <c r="AE6" s="27" t="s">
        <v>84</v>
      </c>
      <c r="AG6" s="2" t="s">
        <v>4</v>
      </c>
      <c r="AH6" s="2" t="s">
        <v>18</v>
      </c>
    </row>
    <row r="7" spans="2:34" ht="20.100000000000001" customHeight="1">
      <c r="B7" s="375"/>
      <c r="C7" s="376"/>
      <c r="D7" s="194"/>
      <c r="E7" s="195"/>
      <c r="F7" s="195"/>
      <c r="G7" s="221"/>
      <c r="H7" s="226"/>
      <c r="I7" s="226"/>
      <c r="J7" s="226"/>
      <c r="K7" s="226"/>
      <c r="L7" s="199" t="s">
        <v>65</v>
      </c>
      <c r="M7" s="199"/>
      <c r="N7" s="366" t="str">
        <f>IF(D7="","",D7*F7*J7*AG7)</f>
        <v/>
      </c>
      <c r="O7" s="366"/>
      <c r="P7" s="379" t="str">
        <f ca="1">IF(D7="","",IF(共通条件・結果!$AA$7="８地域","-",D7*F7*J7*AH7))</f>
        <v/>
      </c>
      <c r="Q7" s="379"/>
      <c r="R7" s="366" t="str">
        <f>IF(D7="","",D7*F7*AD7)</f>
        <v/>
      </c>
      <c r="S7" s="378"/>
      <c r="T7" s="53"/>
      <c r="U7" s="41"/>
      <c r="V7" s="41"/>
      <c r="W7" s="41"/>
      <c r="X7" s="24"/>
      <c r="Y7" s="24"/>
      <c r="Z7" s="24"/>
      <c r="AA7" s="24"/>
      <c r="AD7" s="27">
        <f ca="1">IF(共通条件・結果!$AA$7="８地域",H7,IF(AE7="FALSE",H7,0.5*H7+0.5*(1/((1/H7)+AE7))))</f>
        <v>0</v>
      </c>
      <c r="AE7" s="26" t="str">
        <f ca="1">IF(D7="","FALSE",IF(L7="雨戸",0.1,IF(L7="ｼｬｯﾀｰ",0.1,IF(L7="障子",0.18))))</f>
        <v>FALSE</v>
      </c>
      <c r="AG7" s="27" t="str">
        <f ca="1">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7" s="27" t="str">
        <f ca="1">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8" spans="2:34" ht="20.100000000000001" customHeight="1">
      <c r="B8" s="383"/>
      <c r="C8" s="384"/>
      <c r="D8" s="318"/>
      <c r="E8" s="278"/>
      <c r="F8" s="278"/>
      <c r="G8" s="279"/>
      <c r="H8" s="254"/>
      <c r="I8" s="254"/>
      <c r="J8" s="254"/>
      <c r="K8" s="254"/>
      <c r="L8" s="227" t="s">
        <v>65</v>
      </c>
      <c r="M8" s="227"/>
      <c r="N8" s="365" t="str">
        <f>IF(D8="","",D8*F8*J8*AG8)</f>
        <v/>
      </c>
      <c r="O8" s="365"/>
      <c r="P8" s="365" t="str">
        <f ca="1">IF(D8="","",IF(共通条件・結果!$AA$7="８地域","-",D8*F8*J8*AH8))</f>
        <v/>
      </c>
      <c r="Q8" s="365"/>
      <c r="R8" s="365" t="str">
        <f>IF(D8="","",D8*F8*AD8)</f>
        <v/>
      </c>
      <c r="S8" s="377"/>
      <c r="T8" s="54"/>
      <c r="U8" s="34"/>
      <c r="V8" s="34"/>
      <c r="W8" s="34"/>
      <c r="X8" s="24"/>
      <c r="Y8" s="24"/>
      <c r="Z8" s="24"/>
      <c r="AA8" s="24"/>
      <c r="AD8" s="27">
        <f ca="1">IF(共通条件・結果!$AA$7="８地域",H8,IF(AE8="FALSE",H8,0.5*H8+0.5*(1/((1/H8)+AE8))))</f>
        <v>0</v>
      </c>
      <c r="AE8" s="26" t="str">
        <f ca="1">IF(D8="","FALSE",IF(L8="雨戸",0.1,IF(L8="ｼｬｯﾀｰ",0.1,IF(L8="障子",0.18))))</f>
        <v>FALSE</v>
      </c>
      <c r="AG8" s="27" t="str">
        <f ca="1">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8" s="27" t="str">
        <f ca="1">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9" spans="2:34" ht="20.100000000000001" customHeight="1">
      <c r="B9" s="383"/>
      <c r="C9" s="384"/>
      <c r="D9" s="318"/>
      <c r="E9" s="278"/>
      <c r="F9" s="278"/>
      <c r="G9" s="279"/>
      <c r="H9" s="254"/>
      <c r="I9" s="254"/>
      <c r="J9" s="254"/>
      <c r="K9" s="254"/>
      <c r="L9" s="227" t="s">
        <v>65</v>
      </c>
      <c r="M9" s="227"/>
      <c r="N9" s="365" t="str">
        <f>IF(D9="","",D9*F9*J9*AG9)</f>
        <v/>
      </c>
      <c r="O9" s="365"/>
      <c r="P9" s="365" t="str">
        <f ca="1">IF(D9="","",IF(共通条件・結果!$AA$7="８地域","-",D9*F9*J9*AH9))</f>
        <v/>
      </c>
      <c r="Q9" s="365"/>
      <c r="R9" s="365" t="str">
        <f>IF(D9="","",D9*F9*AD9)</f>
        <v/>
      </c>
      <c r="S9" s="377"/>
      <c r="T9" s="54"/>
      <c r="U9" s="34"/>
      <c r="V9" s="34"/>
      <c r="W9" s="34"/>
      <c r="X9" s="24"/>
      <c r="Y9" s="24"/>
      <c r="Z9" s="24"/>
      <c r="AA9" s="24"/>
      <c r="AD9" s="27">
        <f ca="1">IF(共通条件・結果!$AA$7="８地域",H9,IF(AE9="FALSE",H9,0.5*H9+0.5*(1/((1/H9)+AE9))))</f>
        <v>0</v>
      </c>
      <c r="AE9" s="26" t="str">
        <f ca="1">IF(D9="","FALSE",IF(L9="雨戸",0.1,IF(L9="ｼｬｯﾀｰ",0.1,IF(L9="障子",0.18))))</f>
        <v>FALSE</v>
      </c>
      <c r="AG9" s="27" t="str">
        <f ca="1">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9" s="27" t="str">
        <f ca="1">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0" spans="2:34" ht="20.100000000000001" customHeight="1">
      <c r="B10" s="383"/>
      <c r="C10" s="384"/>
      <c r="D10" s="318"/>
      <c r="E10" s="278"/>
      <c r="F10" s="278"/>
      <c r="G10" s="279"/>
      <c r="H10" s="254"/>
      <c r="I10" s="254"/>
      <c r="J10" s="254"/>
      <c r="K10" s="254"/>
      <c r="L10" s="227" t="s">
        <v>65</v>
      </c>
      <c r="M10" s="227"/>
      <c r="N10" s="365" t="str">
        <f>IF(D10="","",D10*F10*J10*AG10)</f>
        <v/>
      </c>
      <c r="O10" s="365"/>
      <c r="P10" s="365" t="str">
        <f ca="1">IF(D10="","",IF(共通条件・結果!$AA$7="８地域","-",D10*F10*J10*AH10))</f>
        <v/>
      </c>
      <c r="Q10" s="365"/>
      <c r="R10" s="365" t="str">
        <f>IF(D10="","",D10*F10*AD10)</f>
        <v/>
      </c>
      <c r="S10" s="377"/>
      <c r="T10" s="53"/>
      <c r="U10" s="41"/>
      <c r="V10" s="41"/>
      <c r="W10" s="41"/>
      <c r="X10" s="24"/>
      <c r="Y10" s="24"/>
      <c r="Z10" s="24"/>
      <c r="AA10" s="24"/>
      <c r="AD10" s="27">
        <f ca="1">IF(共通条件・結果!$AA$7="８地域",H10,IF(AE10="FALSE",H10,0.5*H10+0.5*(1/((1/H10)+AE10))))</f>
        <v>0</v>
      </c>
      <c r="AE10" s="26" t="str">
        <f ca="1">IF(D10="","FALSE",IF(L10="雨戸",0.1,IF(L10="ｼｬｯﾀｰ",0.1,IF(L10="障子",0.18))))</f>
        <v>FALSE</v>
      </c>
      <c r="AG10" s="27" t="str">
        <f ca="1">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10" s="27" t="str">
        <f ca="1">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1" spans="2:34" ht="20.100000000000001" customHeight="1" thickBot="1">
      <c r="B11" s="395"/>
      <c r="C11" s="396"/>
      <c r="D11" s="318"/>
      <c r="E11" s="278"/>
      <c r="F11" s="278"/>
      <c r="G11" s="279"/>
      <c r="H11" s="254"/>
      <c r="I11" s="254"/>
      <c r="J11" s="254"/>
      <c r="K11" s="254"/>
      <c r="L11" s="199"/>
      <c r="M11" s="199"/>
      <c r="N11" s="366" t="str">
        <f>IF(D11="","",D11*F11*J11*AG11)</f>
        <v/>
      </c>
      <c r="O11" s="366"/>
      <c r="P11" s="385" t="str">
        <f ca="1">IF(D11="","",IF(共通条件・結果!$AA$7="８地域","-",D11*F11*J11*AH11))</f>
        <v/>
      </c>
      <c r="Q11" s="385"/>
      <c r="R11" s="365" t="str">
        <f>IF(D11="","",D11*F11*AD11)</f>
        <v/>
      </c>
      <c r="S11" s="377"/>
      <c r="T11" s="53"/>
      <c r="U11" s="41"/>
      <c r="V11" s="41"/>
      <c r="W11" s="41"/>
      <c r="X11" s="24"/>
      <c r="Y11" s="24"/>
      <c r="Z11" s="24"/>
      <c r="AA11" s="24"/>
      <c r="AD11" s="27">
        <f ca="1">IF(共通条件・結果!$AA$7="８地域",H11,IF(AE11="FALSE",H11,0.5*H11+0.5*(1/((1/H11)+AE11))))</f>
        <v>0</v>
      </c>
      <c r="AE11" s="26" t="str">
        <f ca="1">IF(D11="","FALSE",IF(L11="雨戸",0.1,IF(L11="ｼｬｯﾀｰ",0.1,IF(L11="障子",0.18))))</f>
        <v>FALSE</v>
      </c>
      <c r="AG11" s="27" t="str">
        <f ca="1">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0.94</v>
      </c>
      <c r="AH11" s="27" t="str">
        <f ca="1">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0.80</v>
      </c>
    </row>
    <row r="12" spans="2:34" ht="20.100000000000001" customHeight="1" thickBot="1">
      <c r="B12" s="408" t="s">
        <v>139</v>
      </c>
      <c r="C12" s="409"/>
      <c r="D12" s="409"/>
      <c r="E12" s="409"/>
      <c r="F12" s="409"/>
      <c r="G12" s="409"/>
      <c r="H12" s="409"/>
      <c r="I12" s="409"/>
      <c r="J12" s="409"/>
      <c r="K12" s="409"/>
      <c r="L12" s="409"/>
      <c r="M12" s="410"/>
      <c r="N12" s="386">
        <f>SUM(N7:O11)</f>
        <v>0</v>
      </c>
      <c r="O12" s="386"/>
      <c r="P12" s="386">
        <f>SUM(P7:Q11)</f>
        <v>0</v>
      </c>
      <c r="Q12" s="386"/>
      <c r="R12" s="386">
        <f>SUM(R7:S11)</f>
        <v>0</v>
      </c>
      <c r="S12" s="397"/>
      <c r="T12" s="55"/>
      <c r="U12" s="56"/>
      <c r="V12" s="56"/>
      <c r="W12" s="56"/>
      <c r="X12" s="24"/>
      <c r="Y12" s="24"/>
      <c r="Z12" s="24"/>
      <c r="AA12" s="24"/>
      <c r="AD12" s="27"/>
      <c r="AE12" s="26"/>
    </row>
    <row r="13" spans="2:34" ht="20.100000000000001" customHeight="1">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c r="B15" s="411" t="s">
        <v>0</v>
      </c>
      <c r="C15" s="388"/>
      <c r="D15" s="362" t="s">
        <v>64</v>
      </c>
      <c r="E15" s="363"/>
      <c r="F15" s="362" t="s">
        <v>59</v>
      </c>
      <c r="G15" s="363"/>
      <c r="H15" s="362" t="s">
        <v>170</v>
      </c>
      <c r="I15" s="363"/>
      <c r="J15" s="370" t="s">
        <v>54</v>
      </c>
      <c r="K15" s="371"/>
      <c r="L15" s="387" t="s">
        <v>7</v>
      </c>
      <c r="M15" s="388"/>
      <c r="N15" s="391" t="s">
        <v>68</v>
      </c>
      <c r="O15" s="392"/>
      <c r="P15" s="391" t="s">
        <v>67</v>
      </c>
      <c r="Q15" s="392"/>
      <c r="R15" s="363" t="s">
        <v>13</v>
      </c>
      <c r="S15" s="373"/>
    </row>
    <row r="16" spans="2:34" ht="20.100000000000001" customHeight="1" thickBot="1">
      <c r="B16" s="412"/>
      <c r="C16" s="390"/>
      <c r="D16" s="364"/>
      <c r="E16" s="364"/>
      <c r="F16" s="364"/>
      <c r="G16" s="364"/>
      <c r="H16" s="364"/>
      <c r="I16" s="364"/>
      <c r="J16" s="372"/>
      <c r="K16" s="372"/>
      <c r="L16" s="389"/>
      <c r="M16" s="390"/>
      <c r="N16" s="393"/>
      <c r="O16" s="394"/>
      <c r="P16" s="393"/>
      <c r="Q16" s="394"/>
      <c r="R16" s="364"/>
      <c r="S16" s="374"/>
      <c r="AD16" s="1" t="s">
        <v>92</v>
      </c>
    </row>
    <row r="17" spans="2:30" ht="20.100000000000001" customHeight="1">
      <c r="B17" s="375">
        <v>1</v>
      </c>
      <c r="C17" s="247"/>
      <c r="D17" s="406" t="s">
        <v>238</v>
      </c>
      <c r="E17" s="407"/>
      <c r="F17" s="246">
        <v>142.43</v>
      </c>
      <c r="G17" s="247"/>
      <c r="H17" s="246"/>
      <c r="I17" s="247"/>
      <c r="J17" s="400">
        <f>IF(F17="","",F17-H17)</f>
        <v>142.43</v>
      </c>
      <c r="K17" s="401"/>
      <c r="L17" s="406">
        <v>0.24</v>
      </c>
      <c r="M17" s="407"/>
      <c r="N17" s="404">
        <f t="shared" ref="N17:N24" si="0">IF($D17="","",IF(OR($D17="外気床",$D17="その他床"),0,IF(OR($D17="屋根",$D17="天井"),J17*L17*0.034)))</f>
        <v>1.1622288000000001</v>
      </c>
      <c r="O17" s="405"/>
      <c r="P17" s="402">
        <f ca="1">IF(D17="","",IF(共通条件・結果!$AA$7="８地域","-",IF($D17="　","",IF(OR($D17="外気床",$D17="その他床"),0,IF(OR($D17="屋根",$D17="天井"),J17*L17*0.034)))))</f>
        <v>1.1622288000000001</v>
      </c>
      <c r="Q17" s="403"/>
      <c r="R17" s="398">
        <f t="shared" ref="R17:R24" si="1">IF(F17="","",J17*L17*AD17)</f>
        <v>34.183199999999999</v>
      </c>
      <c r="S17" s="399"/>
      <c r="AD17" s="32">
        <f>IF(D17="　","FALSE",IF(D17="その他床",0.7,1))</f>
        <v>1</v>
      </c>
    </row>
    <row r="18" spans="2:30" ht="20.100000000000001" customHeight="1">
      <c r="B18" s="383" t="s">
        <v>245</v>
      </c>
      <c r="C18" s="193"/>
      <c r="D18" s="192" t="s">
        <v>238</v>
      </c>
      <c r="E18" s="193"/>
      <c r="F18" s="192">
        <v>1.2749999999999999</v>
      </c>
      <c r="G18" s="193"/>
      <c r="H18" s="192"/>
      <c r="I18" s="193"/>
      <c r="J18" s="415">
        <f t="shared" ref="J18:J24" si="2">IF(F18="","",F18-H18)</f>
        <v>1.2749999999999999</v>
      </c>
      <c r="K18" s="416"/>
      <c r="L18" s="192">
        <v>0.24</v>
      </c>
      <c r="M18" s="193"/>
      <c r="N18" s="413">
        <f t="shared" si="0"/>
        <v>1.0404E-2</v>
      </c>
      <c r="O18" s="414"/>
      <c r="P18" s="413">
        <f ca="1">IF(D18="","",IF(共通条件・結果!$AA$7="８地域","-",IF($D18="　","",IF(OR($D18="外気床",$D18="その他床"),0,IF(OR($D18="屋根",$D18="天井"),J18*L18*0.034)))))</f>
        <v>1.0404E-2</v>
      </c>
      <c r="Q18" s="414"/>
      <c r="R18" s="365">
        <f t="shared" si="1"/>
        <v>0.30599999999999999</v>
      </c>
      <c r="S18" s="377"/>
      <c r="AD18" s="33">
        <f t="shared" ref="AD18:AD24" si="3">IF(D18="　","FALSE",IF(D18="その他床",0.7,1))</f>
        <v>1</v>
      </c>
    </row>
    <row r="19" spans="2:30" ht="20.100000000000001" customHeight="1">
      <c r="B19" s="383"/>
      <c r="C19" s="193"/>
      <c r="D19" s="192"/>
      <c r="E19" s="193"/>
      <c r="F19" s="192"/>
      <c r="G19" s="193"/>
      <c r="H19" s="192"/>
      <c r="I19" s="193"/>
      <c r="J19" s="415" t="str">
        <f t="shared" si="2"/>
        <v/>
      </c>
      <c r="K19" s="416"/>
      <c r="L19" s="192"/>
      <c r="M19" s="193"/>
      <c r="N19" s="413" t="str">
        <f t="shared" si="0"/>
        <v/>
      </c>
      <c r="O19" s="414"/>
      <c r="P19" s="413" t="str">
        <f ca="1">IF(D19="","",IF(共通条件・結果!$AA$7="８地域","-",IF($D19="　","",IF(OR($D19="外気床",$D19="その他床"),0,IF(OR($D19="屋根",$D19="天井"),J19*L19*0.034)))))</f>
        <v/>
      </c>
      <c r="Q19" s="414"/>
      <c r="R19" s="365" t="str">
        <f t="shared" si="1"/>
        <v/>
      </c>
      <c r="S19" s="377"/>
      <c r="AD19" s="33">
        <f t="shared" si="3"/>
        <v>1</v>
      </c>
    </row>
    <row r="20" spans="2:30" ht="20.100000000000001" customHeight="1">
      <c r="B20" s="383"/>
      <c r="C20" s="193"/>
      <c r="D20" s="192"/>
      <c r="E20" s="193"/>
      <c r="F20" s="192"/>
      <c r="G20" s="193"/>
      <c r="H20" s="192"/>
      <c r="I20" s="193"/>
      <c r="J20" s="415" t="str">
        <f t="shared" si="2"/>
        <v/>
      </c>
      <c r="K20" s="416"/>
      <c r="L20" s="192"/>
      <c r="M20" s="193"/>
      <c r="N20" s="413" t="str">
        <f t="shared" si="0"/>
        <v/>
      </c>
      <c r="O20" s="414"/>
      <c r="P20" s="413" t="str">
        <f ca="1">IF(D20="","",IF(共通条件・結果!$AA$7="８地域","-",IF($D20="　","",IF(OR($D20="外気床",$D20="その他床"),0,IF(OR($D20="屋根",$D20="天井"),J20*L20*0.034)))))</f>
        <v/>
      </c>
      <c r="Q20" s="414"/>
      <c r="R20" s="365" t="str">
        <f t="shared" si="1"/>
        <v/>
      </c>
      <c r="S20" s="377"/>
      <c r="AD20" s="33">
        <f t="shared" si="3"/>
        <v>1</v>
      </c>
    </row>
    <row r="21" spans="2:30" ht="20.100000000000001" customHeight="1">
      <c r="B21" s="383"/>
      <c r="C21" s="193"/>
      <c r="D21" s="192"/>
      <c r="E21" s="193"/>
      <c r="F21" s="192"/>
      <c r="G21" s="193"/>
      <c r="H21" s="192"/>
      <c r="I21" s="193"/>
      <c r="J21" s="415" t="str">
        <f t="shared" si="2"/>
        <v/>
      </c>
      <c r="K21" s="416"/>
      <c r="L21" s="192"/>
      <c r="M21" s="193"/>
      <c r="N21" s="413" t="str">
        <f t="shared" si="0"/>
        <v/>
      </c>
      <c r="O21" s="414"/>
      <c r="P21" s="413" t="str">
        <f ca="1">IF(D21="","",IF(共通条件・結果!$AA$7="８地域","-",IF($D21="　","",IF(OR($D21="外気床",$D21="その他床"),0,IF(OR($D21="屋根",$D21="天井"),J21*L21*0.034)))))</f>
        <v/>
      </c>
      <c r="Q21" s="414"/>
      <c r="R21" s="365" t="str">
        <f t="shared" si="1"/>
        <v/>
      </c>
      <c r="S21" s="377"/>
      <c r="AD21" s="33">
        <f t="shared" si="3"/>
        <v>1</v>
      </c>
    </row>
    <row r="22" spans="2:30" ht="20.100000000000001" customHeight="1">
      <c r="B22" s="383"/>
      <c r="C22" s="193"/>
      <c r="D22" s="192"/>
      <c r="E22" s="193"/>
      <c r="F22" s="192"/>
      <c r="G22" s="193"/>
      <c r="H22" s="192"/>
      <c r="I22" s="193"/>
      <c r="J22" s="415" t="str">
        <f t="shared" si="2"/>
        <v/>
      </c>
      <c r="K22" s="416"/>
      <c r="L22" s="192"/>
      <c r="M22" s="193"/>
      <c r="N22" s="413" t="str">
        <f t="shared" si="0"/>
        <v/>
      </c>
      <c r="O22" s="414"/>
      <c r="P22" s="413" t="str">
        <f ca="1">IF(D22="","",IF(共通条件・結果!$AA$7="８地域","-",IF($D22="　","",IF(OR($D22="外気床",$D22="その他床"),0,IF(OR($D22="屋根",$D22="天井"),J22*L22*0.034)))))</f>
        <v/>
      </c>
      <c r="Q22" s="414"/>
      <c r="R22" s="365" t="str">
        <f t="shared" si="1"/>
        <v/>
      </c>
      <c r="S22" s="377"/>
      <c r="AD22" s="33">
        <f t="shared" si="3"/>
        <v>1</v>
      </c>
    </row>
    <row r="23" spans="2:30" ht="20.100000000000001" customHeight="1">
      <c r="B23" s="383"/>
      <c r="C23" s="193"/>
      <c r="D23" s="192"/>
      <c r="E23" s="193"/>
      <c r="F23" s="192"/>
      <c r="G23" s="193"/>
      <c r="H23" s="192"/>
      <c r="I23" s="193"/>
      <c r="J23" s="415" t="str">
        <f t="shared" si="2"/>
        <v/>
      </c>
      <c r="K23" s="416"/>
      <c r="L23" s="192"/>
      <c r="M23" s="193"/>
      <c r="N23" s="425" t="str">
        <f t="shared" si="0"/>
        <v/>
      </c>
      <c r="O23" s="426"/>
      <c r="P23" s="413" t="str">
        <f ca="1">IF(D23="","",IF(共通条件・結果!$AA$7="８地域","-",IF($D23="　","",IF(OR($D23="外気床",$D23="その他床"),0,IF(OR($D23="屋根",$D23="天井"),J23*L23*0.034)))))</f>
        <v/>
      </c>
      <c r="Q23" s="414"/>
      <c r="R23" s="365" t="str">
        <f t="shared" si="1"/>
        <v/>
      </c>
      <c r="S23" s="377"/>
      <c r="AD23" s="33">
        <f t="shared" si="3"/>
        <v>1</v>
      </c>
    </row>
    <row r="24" spans="2:30" ht="20.100000000000001" customHeight="1" thickBot="1">
      <c r="B24" s="395"/>
      <c r="C24" s="270"/>
      <c r="D24" s="421"/>
      <c r="E24" s="422"/>
      <c r="F24" s="269"/>
      <c r="G24" s="270"/>
      <c r="H24" s="269"/>
      <c r="I24" s="270"/>
      <c r="J24" s="423" t="str">
        <f t="shared" si="2"/>
        <v/>
      </c>
      <c r="K24" s="424"/>
      <c r="L24" s="421"/>
      <c r="M24" s="422"/>
      <c r="N24" s="417" t="str">
        <f t="shared" si="0"/>
        <v/>
      </c>
      <c r="O24" s="418"/>
      <c r="P24" s="417" t="str">
        <f ca="1">IF(D24="","",IF(共通条件・結果!$AA$7="８地域","-",IF($D24="　","",IF(OR($D24="外気床",$D24="その他床"),0,IF(OR($D24="屋根",$D24="天井"),J24*L24*0.034)))))</f>
        <v/>
      </c>
      <c r="Q24" s="418"/>
      <c r="R24" s="419" t="str">
        <f t="shared" si="1"/>
        <v/>
      </c>
      <c r="S24" s="420"/>
      <c r="AD24" s="33">
        <f t="shared" si="3"/>
        <v>1</v>
      </c>
    </row>
    <row r="25" spans="2:30" ht="20.100000000000001" customHeight="1" thickBot="1">
      <c r="B25" s="197" t="s">
        <v>138</v>
      </c>
      <c r="C25" s="198"/>
      <c r="D25" s="198"/>
      <c r="E25" s="198"/>
      <c r="F25" s="198"/>
      <c r="G25" s="198"/>
      <c r="H25" s="198"/>
      <c r="I25" s="198"/>
      <c r="J25" s="198"/>
      <c r="K25" s="198"/>
      <c r="L25" s="198"/>
      <c r="M25" s="231"/>
      <c r="N25" s="433">
        <f>SUM(N17:O24)</f>
        <v>1.1726328000000001</v>
      </c>
      <c r="O25" s="434"/>
      <c r="P25" s="433">
        <f>SUM(P17:Q24)</f>
        <v>1.1726328000000001</v>
      </c>
      <c r="Q25" s="434"/>
      <c r="R25" s="386">
        <f>SUM(R17:S24)</f>
        <v>34.489199999999997</v>
      </c>
      <c r="S25" s="397"/>
    </row>
    <row r="26" spans="2:30" ht="20.100000000000001" customHeight="1">
      <c r="B26" s="2"/>
      <c r="C26" s="2"/>
      <c r="D26" s="2"/>
      <c r="E26" s="2"/>
      <c r="F26" s="2"/>
      <c r="G26" s="2"/>
      <c r="H26" s="2"/>
      <c r="I26" s="2"/>
      <c r="J26" s="2"/>
      <c r="K26" s="2"/>
      <c r="L26" s="2"/>
      <c r="M26" s="2"/>
      <c r="N26" s="2"/>
      <c r="O26" s="2"/>
      <c r="P26" s="2"/>
      <c r="Q26" s="2"/>
    </row>
    <row r="27" spans="2:30" ht="20.100000000000001" customHeight="1">
      <c r="B27" s="2"/>
      <c r="C27" s="2"/>
      <c r="D27" s="2"/>
      <c r="E27" s="2"/>
      <c r="F27" s="2"/>
      <c r="G27" s="2"/>
      <c r="H27" s="2"/>
      <c r="I27" s="2"/>
      <c r="J27" s="2"/>
      <c r="K27" s="2"/>
      <c r="L27" s="2"/>
      <c r="M27" s="2"/>
      <c r="N27" s="2"/>
      <c r="O27" s="2"/>
      <c r="P27" s="2"/>
      <c r="Q27" s="2"/>
    </row>
    <row r="28" spans="2:30" ht="20.100000000000001" customHeight="1">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c r="B30" s="427" t="s">
        <v>61</v>
      </c>
      <c r="C30" s="428"/>
      <c r="D30" s="120" t="s">
        <v>56</v>
      </c>
      <c r="E30" s="121"/>
      <c r="F30" s="121"/>
      <c r="G30" s="121"/>
      <c r="H30" s="121"/>
      <c r="I30" s="121"/>
      <c r="J30" s="122"/>
      <c r="K30" s="10"/>
      <c r="L30" s="69"/>
      <c r="M30" s="69"/>
      <c r="N30" s="10"/>
      <c r="O30" s="11"/>
      <c r="P30" s="437">
        <f>T30+Y30</f>
        <v>143.70500000000001</v>
      </c>
      <c r="Q30" s="437"/>
      <c r="R30" s="10" t="s">
        <v>165</v>
      </c>
      <c r="S30" s="11" t="s">
        <v>62</v>
      </c>
      <c r="T30" s="436">
        <f>D7*F7+D8*F8+D9*F9+D10*F10+D11*F11</f>
        <v>0</v>
      </c>
      <c r="U30" s="436"/>
      <c r="V30" s="70" t="s">
        <v>166</v>
      </c>
      <c r="W30" s="140" t="s">
        <v>167</v>
      </c>
      <c r="X30" s="140"/>
      <c r="Y30" s="436">
        <f>SUM(J17:K24)</f>
        <v>143.70500000000001</v>
      </c>
      <c r="Z30" s="436"/>
      <c r="AA30" s="71" t="s">
        <v>168</v>
      </c>
      <c r="AB30" s="6"/>
      <c r="AC30" s="6"/>
    </row>
    <row r="31" spans="2:30" ht="20.100000000000001" customHeight="1">
      <c r="B31" s="429"/>
      <c r="C31" s="430"/>
      <c r="D31" s="125" t="s">
        <v>72</v>
      </c>
      <c r="E31" s="126"/>
      <c r="F31" s="126"/>
      <c r="G31" s="126"/>
      <c r="H31" s="126"/>
      <c r="I31" s="126"/>
      <c r="J31" s="127"/>
      <c r="K31" s="9"/>
      <c r="L31" s="9"/>
      <c r="M31" s="9"/>
      <c r="N31" s="9"/>
      <c r="O31" s="9"/>
      <c r="P31" s="9"/>
      <c r="Q31" s="9"/>
      <c r="R31" s="9"/>
      <c r="S31" s="9"/>
      <c r="T31" s="9"/>
      <c r="U31" s="9"/>
      <c r="V31" s="9"/>
      <c r="W31" s="435">
        <f>N12+N25</f>
        <v>1.1726328000000001</v>
      </c>
      <c r="X31" s="435"/>
      <c r="Y31" s="435"/>
      <c r="Z31" s="72"/>
      <c r="AA31" s="73"/>
      <c r="AB31" s="6"/>
      <c r="AC31" s="6"/>
    </row>
    <row r="32" spans="2:30" ht="20.100000000000001" customHeight="1">
      <c r="B32" s="429"/>
      <c r="C32" s="430"/>
      <c r="D32" s="125" t="s">
        <v>73</v>
      </c>
      <c r="E32" s="126"/>
      <c r="F32" s="126"/>
      <c r="G32" s="126"/>
      <c r="H32" s="126"/>
      <c r="I32" s="126"/>
      <c r="J32" s="127"/>
      <c r="K32" s="9"/>
      <c r="L32" s="9"/>
      <c r="M32" s="9"/>
      <c r="N32" s="9"/>
      <c r="O32" s="9"/>
      <c r="P32" s="9"/>
      <c r="Q32" s="9"/>
      <c r="R32" s="9"/>
      <c r="S32" s="9"/>
      <c r="T32" s="9"/>
      <c r="U32" s="9"/>
      <c r="V32" s="9"/>
      <c r="W32" s="435">
        <f>P12+P25</f>
        <v>1.1726328000000001</v>
      </c>
      <c r="X32" s="435"/>
      <c r="Y32" s="435"/>
      <c r="Z32" s="72"/>
      <c r="AA32" s="73"/>
      <c r="AB32" s="6"/>
      <c r="AC32" s="6"/>
    </row>
    <row r="33" spans="2:29" ht="20.100000000000001" customHeight="1" thickBot="1">
      <c r="B33" s="431"/>
      <c r="C33" s="432"/>
      <c r="D33" s="113" t="s">
        <v>20</v>
      </c>
      <c r="E33" s="114"/>
      <c r="F33" s="114"/>
      <c r="G33" s="114"/>
      <c r="H33" s="114"/>
      <c r="I33" s="114"/>
      <c r="J33" s="115"/>
      <c r="K33" s="8"/>
      <c r="L33" s="8"/>
      <c r="M33" s="8"/>
      <c r="N33" s="8"/>
      <c r="O33" s="8"/>
      <c r="P33" s="8"/>
      <c r="Q33" s="8"/>
      <c r="R33" s="8"/>
      <c r="S33" s="8"/>
      <c r="T33" s="8"/>
      <c r="U33" s="8"/>
      <c r="V33" s="8"/>
      <c r="W33" s="438">
        <f>R12+R25</f>
        <v>34.489199999999997</v>
      </c>
      <c r="X33" s="438"/>
      <c r="Y33" s="438"/>
      <c r="Z33" s="74" t="s">
        <v>169</v>
      </c>
      <c r="AA33" s="75"/>
      <c r="AB33" s="6"/>
      <c r="AC33" s="6"/>
    </row>
    <row r="34" spans="2:29" ht="20.100000000000001" customHeight="1"/>
    <row r="35" spans="2:29" ht="20.100000000000001" customHeight="1"/>
    <row r="36" spans="2:29" ht="20.100000000000001" customHeight="1"/>
    <row r="37" spans="2:29" ht="20.100000000000001" customHeight="1"/>
    <row r="38" spans="2:29" ht="20.100000000000001" customHeight="1"/>
    <row r="39" spans="2:29" ht="20.100000000000001" customHeight="1"/>
    <row r="40" spans="2:29" ht="20.100000000000001" customHeight="1"/>
    <row r="41" spans="2:29" ht="20.100000000000001" customHeight="1"/>
    <row r="42" spans="2:29" ht="20.100000000000001" customHeight="1"/>
    <row r="43" spans="2:29" ht="20.100000000000001" customHeight="1"/>
    <row r="44" spans="2:29" ht="20.100000000000001" customHeight="1"/>
    <row r="45" spans="2:29" ht="20.100000000000001" customHeight="1"/>
    <row r="46" spans="2:29" ht="20.100000000000001" customHeight="1"/>
    <row r="47" spans="2:29" ht="20.100000000000001" customHeight="1"/>
    <row r="48" spans="2:29"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sheetData>
  <sheetProtection sheet="1" objects="1" scenarios="1" selectLockedCells="1"/>
  <mergeCells count="157">
    <mergeCell ref="W33:Y33"/>
    <mergeCell ref="W30:X30"/>
    <mergeCell ref="Y30:Z30"/>
    <mergeCell ref="W31:Y31"/>
    <mergeCell ref="P25:Q25"/>
    <mergeCell ref="D33:J33"/>
    <mergeCell ref="W32:Y32"/>
    <mergeCell ref="T30:U30"/>
    <mergeCell ref="D32:J32"/>
    <mergeCell ref="D31:J31"/>
    <mergeCell ref="B25:M25"/>
    <mergeCell ref="P30:Q30"/>
    <mergeCell ref="R25:S25"/>
    <mergeCell ref="N25:O25"/>
    <mergeCell ref="B30:C33"/>
    <mergeCell ref="D30:J30"/>
    <mergeCell ref="B23:C23"/>
    <mergeCell ref="H23:I23"/>
    <mergeCell ref="J23:K23"/>
    <mergeCell ref="F24:G24"/>
    <mergeCell ref="H24:I24"/>
    <mergeCell ref="F23:G23"/>
    <mergeCell ref="R24:S24"/>
    <mergeCell ref="L23:M23"/>
    <mergeCell ref="B24:C24"/>
    <mergeCell ref="N24:O24"/>
    <mergeCell ref="L24:M24"/>
    <mergeCell ref="J24:K24"/>
    <mergeCell ref="D24:E24"/>
    <mergeCell ref="N23:O23"/>
    <mergeCell ref="R23:S23"/>
    <mergeCell ref="P23:Q23"/>
    <mergeCell ref="P24:Q24"/>
    <mergeCell ref="D23:E23"/>
    <mergeCell ref="B21:C21"/>
    <mergeCell ref="D21:E21"/>
    <mergeCell ref="F21:G21"/>
    <mergeCell ref="H21:I21"/>
    <mergeCell ref="D22:E22"/>
    <mergeCell ref="F22:G22"/>
    <mergeCell ref="H22:I22"/>
    <mergeCell ref="J21:K21"/>
    <mergeCell ref="R22:S22"/>
    <mergeCell ref="P22:Q22"/>
    <mergeCell ref="B22:C22"/>
    <mergeCell ref="N22:O22"/>
    <mergeCell ref="J22:K22"/>
    <mergeCell ref="L22:M22"/>
    <mergeCell ref="R18:S18"/>
    <mergeCell ref="P21:Q21"/>
    <mergeCell ref="P19:Q19"/>
    <mergeCell ref="R19:S19"/>
    <mergeCell ref="P20:Q20"/>
    <mergeCell ref="R21:S21"/>
    <mergeCell ref="P18:Q18"/>
    <mergeCell ref="R20:S20"/>
    <mergeCell ref="N20:O20"/>
    <mergeCell ref="N21:O21"/>
    <mergeCell ref="N19:O19"/>
    <mergeCell ref="J18:K18"/>
    <mergeCell ref="J19:K19"/>
    <mergeCell ref="J20:K20"/>
    <mergeCell ref="L20:M20"/>
    <mergeCell ref="L18:M18"/>
    <mergeCell ref="N18:O18"/>
    <mergeCell ref="H20:I20"/>
    <mergeCell ref="H18:I18"/>
    <mergeCell ref="H11:I11"/>
    <mergeCell ref="H17:I17"/>
    <mergeCell ref="H19:I19"/>
    <mergeCell ref="L21:M21"/>
    <mergeCell ref="H15:I16"/>
    <mergeCell ref="F15:G16"/>
    <mergeCell ref="B12:M12"/>
    <mergeCell ref="B15:C16"/>
    <mergeCell ref="D15:E16"/>
    <mergeCell ref="J15:K16"/>
    <mergeCell ref="L19:M19"/>
    <mergeCell ref="B17:C17"/>
    <mergeCell ref="D17:E17"/>
    <mergeCell ref="B18:C18"/>
    <mergeCell ref="D18:E18"/>
    <mergeCell ref="F17:G17"/>
    <mergeCell ref="D20:E20"/>
    <mergeCell ref="F20:G20"/>
    <mergeCell ref="F19:G19"/>
    <mergeCell ref="F18:G18"/>
    <mergeCell ref="B19:C19"/>
    <mergeCell ref="D19:E19"/>
    <mergeCell ref="B11:C11"/>
    <mergeCell ref="D11:E11"/>
    <mergeCell ref="F11:G11"/>
    <mergeCell ref="R12:S12"/>
    <mergeCell ref="B20:C20"/>
    <mergeCell ref="R17:S17"/>
    <mergeCell ref="J17:K17"/>
    <mergeCell ref="P17:Q17"/>
    <mergeCell ref="N17:O17"/>
    <mergeCell ref="L17:M17"/>
    <mergeCell ref="L10:M10"/>
    <mergeCell ref="N10:O10"/>
    <mergeCell ref="P10:Q10"/>
    <mergeCell ref="R11:S11"/>
    <mergeCell ref="R15:S16"/>
    <mergeCell ref="N12:O12"/>
    <mergeCell ref="L15:M16"/>
    <mergeCell ref="N15:O16"/>
    <mergeCell ref="P15:Q16"/>
    <mergeCell ref="P12:Q12"/>
    <mergeCell ref="J8:K8"/>
    <mergeCell ref="H8:I8"/>
    <mergeCell ref="J9:K9"/>
    <mergeCell ref="L9:M9"/>
    <mergeCell ref="R10:S10"/>
    <mergeCell ref="P11:Q11"/>
    <mergeCell ref="N11:O11"/>
    <mergeCell ref="J11:K11"/>
    <mergeCell ref="L11:M11"/>
    <mergeCell ref="J10:K10"/>
    <mergeCell ref="D9:E9"/>
    <mergeCell ref="F7:G7"/>
    <mergeCell ref="D6:E6"/>
    <mergeCell ref="B10:C10"/>
    <mergeCell ref="D10:E10"/>
    <mergeCell ref="F10:G10"/>
    <mergeCell ref="B8:C8"/>
    <mergeCell ref="B9:C9"/>
    <mergeCell ref="P7:Q7"/>
    <mergeCell ref="N9:O9"/>
    <mergeCell ref="H10:I10"/>
    <mergeCell ref="F6:G6"/>
    <mergeCell ref="L7:M7"/>
    <mergeCell ref="D7:E7"/>
    <mergeCell ref="F9:G9"/>
    <mergeCell ref="H9:I9"/>
    <mergeCell ref="D8:E8"/>
    <mergeCell ref="F8:G8"/>
    <mergeCell ref="L5:M6"/>
    <mergeCell ref="R5:S6"/>
    <mergeCell ref="H7:I7"/>
    <mergeCell ref="B7:C7"/>
    <mergeCell ref="R9:S9"/>
    <mergeCell ref="R7:S7"/>
    <mergeCell ref="L8:M8"/>
    <mergeCell ref="N8:O8"/>
    <mergeCell ref="P8:Q8"/>
    <mergeCell ref="R8:S8"/>
    <mergeCell ref="P5:Q6"/>
    <mergeCell ref="J7:K7"/>
    <mergeCell ref="P9:Q9"/>
    <mergeCell ref="N5:O6"/>
    <mergeCell ref="N7:O7"/>
    <mergeCell ref="B2:AA2"/>
    <mergeCell ref="B5:C6"/>
    <mergeCell ref="D5:G5"/>
    <mergeCell ref="H5:I6"/>
    <mergeCell ref="J5:K6"/>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formula1>"　,雨戸,ｼｬｯﾀｰ,障子"</formula1>
    </dataValidation>
    <dataValidation type="list" allowBlank="1" showInputMessage="1" showErrorMessage="1" sqref="D17:E24">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12.xml><?xml version="1.0" encoding="utf-8"?>
<worksheet xmlns="http://schemas.openxmlformats.org/spreadsheetml/2006/main" xmlns:r="http://schemas.openxmlformats.org/officeDocument/2006/relationships">
  <sheetPr codeName="Sheet12"/>
  <dimension ref="B1:AK149"/>
  <sheetViews>
    <sheetView showGridLines="0" view="pageBreakPreview" zoomScaleNormal="100" zoomScaleSheetLayoutView="100" workbookViewId="0">
      <selection activeCell="N19" sqref="N19:O19"/>
    </sheetView>
  </sheetViews>
  <sheetFormatPr defaultRowHeight="13.5"/>
  <cols>
    <col min="1" max="1" width="0.75" customWidth="1"/>
    <col min="2" max="3" width="4.125" customWidth="1"/>
    <col min="4" max="29" width="3.625" customWidth="1"/>
    <col min="30" max="30" width="3.75" customWidth="1"/>
    <col min="31" max="31" width="10.375" hidden="1" customWidth="1"/>
    <col min="32" max="32" width="3.375" hidden="1" customWidth="1"/>
    <col min="33" max="33" width="14.375" hidden="1" customWidth="1"/>
    <col min="34" max="34" width="6" hidden="1" customWidth="1"/>
    <col min="35" max="35" width="13.875" hidden="1" customWidth="1"/>
    <col min="36" max="37" width="8.25" hidden="1" customWidth="1"/>
    <col min="38" max="53" width="3.625" customWidth="1"/>
  </cols>
  <sheetData>
    <row r="1" spans="2:29" ht="3.75" customHeight="1"/>
    <row r="2" spans="2:29" ht="30" customHeight="1">
      <c r="B2" s="367" t="s">
        <v>52</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row>
    <row r="3" spans="2:29" s="3" customFormat="1" ht="20.100000000000001" customHeight="1"/>
    <row r="4" spans="2:29" s="3" customFormat="1" ht="20.100000000000001" customHeight="1" thickBot="1">
      <c r="B4" s="4" t="s">
        <v>160</v>
      </c>
      <c r="C4" s="2"/>
      <c r="D4" s="2"/>
      <c r="E4" s="2"/>
      <c r="F4" s="2"/>
      <c r="G4" s="2"/>
      <c r="H4" s="2"/>
      <c r="I4" s="2"/>
    </row>
    <row r="5" spans="2:29" s="3" customFormat="1" ht="20.100000000000001" customHeight="1">
      <c r="B5" s="411" t="s">
        <v>36</v>
      </c>
      <c r="C5" s="388"/>
      <c r="D5" s="363" t="s">
        <v>37</v>
      </c>
      <c r="E5" s="363"/>
      <c r="F5" s="363"/>
      <c r="G5" s="148"/>
      <c r="H5" s="387" t="s">
        <v>60</v>
      </c>
      <c r="I5" s="444"/>
    </row>
    <row r="6" spans="2:29" s="3" customFormat="1" ht="20.100000000000001" customHeight="1" thickBot="1">
      <c r="B6" s="412"/>
      <c r="C6" s="390"/>
      <c r="D6" s="364"/>
      <c r="E6" s="364"/>
      <c r="F6" s="364"/>
      <c r="G6" s="443"/>
      <c r="H6" s="389"/>
      <c r="I6" s="445"/>
    </row>
    <row r="7" spans="2:29" s="3" customFormat="1" ht="20.100000000000001" customHeight="1">
      <c r="B7" s="439">
        <v>1</v>
      </c>
      <c r="C7" s="440"/>
      <c r="D7" s="441" t="s">
        <v>237</v>
      </c>
      <c r="E7" s="441"/>
      <c r="F7" s="441"/>
      <c r="G7" s="441"/>
      <c r="H7" s="440">
        <v>142.43</v>
      </c>
      <c r="I7" s="442"/>
    </row>
    <row r="8" spans="2:29" s="3" customFormat="1" ht="20.100000000000001" customHeight="1">
      <c r="B8" s="446"/>
      <c r="C8" s="447"/>
      <c r="D8" s="441"/>
      <c r="E8" s="441"/>
      <c r="F8" s="441"/>
      <c r="G8" s="441"/>
      <c r="H8" s="447"/>
      <c r="I8" s="448"/>
    </row>
    <row r="9" spans="2:29" s="3" customFormat="1" ht="20.100000000000001" customHeight="1">
      <c r="B9" s="446"/>
      <c r="C9" s="447"/>
      <c r="D9" s="441"/>
      <c r="E9" s="441"/>
      <c r="F9" s="441"/>
      <c r="G9" s="441"/>
      <c r="H9" s="447"/>
      <c r="I9" s="448"/>
    </row>
    <row r="10" spans="2:29" s="3" customFormat="1" ht="20.100000000000001" customHeight="1">
      <c r="B10" s="446"/>
      <c r="C10" s="447"/>
      <c r="D10" s="441"/>
      <c r="E10" s="441"/>
      <c r="F10" s="441"/>
      <c r="G10" s="441"/>
      <c r="H10" s="447"/>
      <c r="I10" s="448"/>
    </row>
    <row r="11" spans="2:29" s="3" customFormat="1" ht="20.100000000000001" customHeight="1" thickBot="1">
      <c r="B11" s="461"/>
      <c r="C11" s="462"/>
      <c r="D11" s="462"/>
      <c r="E11" s="462"/>
      <c r="F11" s="462"/>
      <c r="G11" s="462"/>
      <c r="H11" s="462"/>
      <c r="I11" s="465"/>
    </row>
    <row r="12" spans="2:29" s="3" customFormat="1" ht="20.100000000000001" customHeight="1" thickBot="1">
      <c r="B12" s="463" t="s">
        <v>63</v>
      </c>
      <c r="C12" s="464"/>
      <c r="D12" s="464"/>
      <c r="E12" s="464"/>
      <c r="F12" s="464"/>
      <c r="G12" s="464"/>
      <c r="H12" s="386">
        <f>SUM(H7:I11)</f>
        <v>142.43</v>
      </c>
      <c r="I12" s="397"/>
    </row>
    <row r="13" spans="2:29" s="3" customFormat="1" ht="20.100000000000001" customHeight="1">
      <c r="B13" s="2" t="s">
        <v>161</v>
      </c>
      <c r="C13" s="66"/>
      <c r="D13" s="66"/>
      <c r="E13" s="66"/>
      <c r="F13" s="66"/>
      <c r="G13" s="66"/>
      <c r="H13" s="67"/>
      <c r="I13" s="67"/>
    </row>
    <row r="14" spans="2:29" s="3" customFormat="1" ht="20.100000000000001" customHeight="1">
      <c r="B14" s="2" t="s">
        <v>93</v>
      </c>
      <c r="C14" s="66"/>
      <c r="D14" s="66"/>
      <c r="E14" s="66"/>
      <c r="F14" s="66"/>
      <c r="G14" s="66"/>
      <c r="H14" s="67"/>
      <c r="I14" s="67"/>
    </row>
    <row r="15" spans="2:29" s="3" customFormat="1" ht="20.100000000000001" customHeight="1">
      <c r="B15" s="66"/>
      <c r="C15" s="66"/>
      <c r="D15" s="66"/>
      <c r="E15" s="66"/>
      <c r="F15" s="66"/>
      <c r="G15" s="66"/>
      <c r="H15" s="67"/>
      <c r="I15" s="67"/>
    </row>
    <row r="16" spans="2:29" s="3" customFormat="1" ht="20.100000000000001" customHeight="1" thickBot="1">
      <c r="B16" s="4" t="s">
        <v>162</v>
      </c>
    </row>
    <row r="17" spans="2:37" s="3" customFormat="1" ht="20.100000000000001" customHeight="1">
      <c r="B17" s="368" t="s">
        <v>36</v>
      </c>
      <c r="C17" s="363"/>
      <c r="D17" s="363" t="s">
        <v>37</v>
      </c>
      <c r="E17" s="363"/>
      <c r="F17" s="363"/>
      <c r="G17" s="363"/>
      <c r="H17" s="449" t="s">
        <v>38</v>
      </c>
      <c r="I17" s="451"/>
      <c r="J17" s="449" t="s">
        <v>39</v>
      </c>
      <c r="K17" s="451"/>
      <c r="L17" s="449" t="s">
        <v>40</v>
      </c>
      <c r="M17" s="451"/>
      <c r="N17" s="449" t="s">
        <v>41</v>
      </c>
      <c r="O17" s="451"/>
      <c r="P17" s="449" t="s">
        <v>42</v>
      </c>
      <c r="Q17" s="449"/>
      <c r="R17" s="449" t="s">
        <v>43</v>
      </c>
      <c r="S17" s="449"/>
      <c r="T17" s="449" t="s">
        <v>44</v>
      </c>
      <c r="U17" s="451"/>
      <c r="V17" s="449" t="s">
        <v>45</v>
      </c>
      <c r="W17" s="451"/>
      <c r="X17" s="449" t="s">
        <v>46</v>
      </c>
      <c r="Y17" s="451"/>
      <c r="Z17" s="449" t="s">
        <v>47</v>
      </c>
      <c r="AA17" s="451"/>
      <c r="AB17" s="363" t="s">
        <v>7</v>
      </c>
      <c r="AC17" s="373"/>
      <c r="AG17" s="473" t="s">
        <v>7</v>
      </c>
      <c r="AH17" s="473"/>
      <c r="AI17" s="473"/>
      <c r="AJ17" s="473"/>
      <c r="AK17" s="473"/>
    </row>
    <row r="18" spans="2:37" s="3" customFormat="1" ht="20.100000000000001" customHeight="1" thickBot="1">
      <c r="B18" s="369"/>
      <c r="C18" s="364"/>
      <c r="D18" s="364"/>
      <c r="E18" s="364"/>
      <c r="F18" s="364"/>
      <c r="G18" s="364"/>
      <c r="H18" s="452"/>
      <c r="I18" s="452"/>
      <c r="J18" s="452"/>
      <c r="K18" s="452"/>
      <c r="L18" s="452"/>
      <c r="M18" s="452"/>
      <c r="N18" s="452"/>
      <c r="O18" s="452"/>
      <c r="P18" s="450"/>
      <c r="Q18" s="450"/>
      <c r="R18" s="450"/>
      <c r="S18" s="450"/>
      <c r="T18" s="452"/>
      <c r="U18" s="452"/>
      <c r="V18" s="452"/>
      <c r="W18" s="452"/>
      <c r="X18" s="452"/>
      <c r="Y18" s="452"/>
      <c r="Z18" s="452"/>
      <c r="AA18" s="452"/>
      <c r="AB18" s="364"/>
      <c r="AC18" s="374"/>
      <c r="AE18" s="25" t="s">
        <v>80</v>
      </c>
      <c r="AG18" s="89" t="s">
        <v>207</v>
      </c>
      <c r="AH18" s="90" t="s">
        <v>81</v>
      </c>
      <c r="AI18" s="89" t="s">
        <v>194</v>
      </c>
      <c r="AJ18" s="89" t="s">
        <v>208</v>
      </c>
      <c r="AK18" s="89" t="s">
        <v>209</v>
      </c>
    </row>
    <row r="19" spans="2:37" s="2" customFormat="1" ht="20.100000000000001" customHeight="1">
      <c r="B19" s="453">
        <f>IF(B7="","",B7)</f>
        <v>1</v>
      </c>
      <c r="C19" s="454"/>
      <c r="D19" s="455" t="str">
        <f>IF(D7="","",D7)</f>
        <v>基礎断熱</v>
      </c>
      <c r="E19" s="455"/>
      <c r="F19" s="455"/>
      <c r="G19" s="455"/>
      <c r="H19" s="226"/>
      <c r="I19" s="226"/>
      <c r="J19" s="226">
        <v>2.1739999999999999</v>
      </c>
      <c r="K19" s="226"/>
      <c r="L19" s="226"/>
      <c r="M19" s="226"/>
      <c r="N19" s="226">
        <v>2.1739999999999999</v>
      </c>
      <c r="O19" s="226"/>
      <c r="P19" s="226">
        <v>0.4</v>
      </c>
      <c r="Q19" s="226"/>
      <c r="R19" s="226">
        <v>0.15</v>
      </c>
      <c r="S19" s="226"/>
      <c r="T19" s="226"/>
      <c r="U19" s="226"/>
      <c r="V19" s="226">
        <v>0.6</v>
      </c>
      <c r="W19" s="226"/>
      <c r="X19" s="226"/>
      <c r="Y19" s="226"/>
      <c r="Z19" s="456" t="str">
        <f>IF(R19="","",IF(-1&lt;=R19,"(11)",IF(H19+N19&gt;=3,"(13)1","(13)2")))</f>
        <v>(11)</v>
      </c>
      <c r="AA19" s="456"/>
      <c r="AB19" s="379">
        <f>IF(R19="","",IF(IF(Z19="(11)",AG19,AI19)&lt;0.05,"0.05",IF(Z19="(11)",AG19,AI19)))</f>
        <v>0.48874037683397797</v>
      </c>
      <c r="AC19" s="489"/>
      <c r="AE19" s="2">
        <f>IF(P19&gt;0.4,"0.4",P19)</f>
        <v>0.4</v>
      </c>
      <c r="AG19" s="2">
        <f>1.8-1.36*(H19*(AE19+T19)+N19*(AE19-R19))^0.15-0.01*(6.14-H19)*((J19+0.5*L19)*AH19)^0.5</f>
        <v>0.48874037683397797</v>
      </c>
      <c r="AH19" s="2">
        <f>IF(MAX(V19,X19)&lt;=0.9,MAX(V19,X19),"0.9")</f>
        <v>0.6</v>
      </c>
      <c r="AI19" s="2">
        <f>IF((H19+N19)&gt;=3,AJ19,AK19)</f>
        <v>0.27198421979115217</v>
      </c>
      <c r="AJ19" s="2">
        <f>1.8-1.47*(H19+N19)^0.08</f>
        <v>0.23577905099651364</v>
      </c>
      <c r="AK19" s="2">
        <f>1.8-1.36*(H19+N19)^0.15</f>
        <v>0.27198421979115217</v>
      </c>
    </row>
    <row r="20" spans="2:37" s="2" customFormat="1" ht="20.100000000000001" customHeight="1">
      <c r="B20" s="457" t="str">
        <f>IF(B8="","",B8)</f>
        <v/>
      </c>
      <c r="C20" s="458"/>
      <c r="D20" s="459" t="str">
        <f>IF(D8="","",D8)</f>
        <v/>
      </c>
      <c r="E20" s="459"/>
      <c r="F20" s="459"/>
      <c r="G20" s="459"/>
      <c r="H20" s="254"/>
      <c r="I20" s="254"/>
      <c r="J20" s="254"/>
      <c r="K20" s="254"/>
      <c r="L20" s="254"/>
      <c r="M20" s="254"/>
      <c r="N20" s="254"/>
      <c r="O20" s="254"/>
      <c r="P20" s="254"/>
      <c r="Q20" s="254"/>
      <c r="R20" s="254"/>
      <c r="S20" s="254"/>
      <c r="T20" s="254"/>
      <c r="U20" s="254"/>
      <c r="V20" s="254"/>
      <c r="W20" s="254"/>
      <c r="X20" s="254"/>
      <c r="Y20" s="254"/>
      <c r="Z20" s="460" t="str">
        <f>IF(R20="","",IF(-1&lt;=R20,"(11)",IF(H20+N20&gt;=3,"(13)1","(13)2")))</f>
        <v/>
      </c>
      <c r="AA20" s="460"/>
      <c r="AB20" s="365" t="str">
        <f>IF(R20="","",IF(IF(Z20="(11)",AG20,AI20)&lt;0.05,"0.05",IF(Z20="(11)",AG20,AI20)))</f>
        <v/>
      </c>
      <c r="AC20" s="377"/>
      <c r="AE20" s="2">
        <f>IF(P20&gt;0.4,"0.4",P20)</f>
        <v>0</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c r="B21" s="457" t="str">
        <f>IF(B9="","",B9)</f>
        <v/>
      </c>
      <c r="C21" s="458"/>
      <c r="D21" s="459" t="str">
        <f>IF(D9="","",D9)</f>
        <v/>
      </c>
      <c r="E21" s="459"/>
      <c r="F21" s="459"/>
      <c r="G21" s="459"/>
      <c r="H21" s="254"/>
      <c r="I21" s="254"/>
      <c r="J21" s="254"/>
      <c r="K21" s="254"/>
      <c r="L21" s="254"/>
      <c r="M21" s="254"/>
      <c r="N21" s="254"/>
      <c r="O21" s="254"/>
      <c r="P21" s="254"/>
      <c r="Q21" s="254"/>
      <c r="R21" s="254"/>
      <c r="S21" s="254"/>
      <c r="T21" s="254"/>
      <c r="U21" s="254"/>
      <c r="V21" s="254"/>
      <c r="W21" s="254"/>
      <c r="X21" s="254"/>
      <c r="Y21" s="254"/>
      <c r="Z21" s="460" t="str">
        <f>IF(R21="","",IF(-1&lt;=R21,"(11)",IF(H21+N21&gt;=3,"(13)1","(13)2")))</f>
        <v/>
      </c>
      <c r="AA21" s="460"/>
      <c r="AB21" s="365" t="str">
        <f>IF(R21="","",IF(IF(Z21="(11)",AG21,AI21)&lt;0.05,"0.05",IF(Z21="(11)",AG21,AI21)))</f>
        <v/>
      </c>
      <c r="AC21" s="377"/>
      <c r="AE21" s="2">
        <f>IF(P21&gt;0.4,"0.4",P21)</f>
        <v>0</v>
      </c>
      <c r="AG21" s="2">
        <f>1.8-1.36*(H21*(AE21+T21)+N21*(AE21-R21))^0.15-0.01*(6.14-H21)*((J21+0.5*L21)*AH21)^0.5</f>
        <v>1.8</v>
      </c>
      <c r="AH21" s="2">
        <f>IF(MAX(V21,X21)&lt;=0.9,MAX(V21,X21),"0.9")</f>
        <v>0</v>
      </c>
      <c r="AI21" s="2">
        <f>IF((H21+N21)&gt;=3,AJ21,AK21)</f>
        <v>1.8</v>
      </c>
      <c r="AJ21" s="2">
        <f>1.8-1.47*(H21+N21)^0.08</f>
        <v>1.8</v>
      </c>
      <c r="AK21" s="2">
        <f>1.8-1.36*(H21+N21)^0.15</f>
        <v>1.8</v>
      </c>
    </row>
    <row r="22" spans="2:37" s="2" customFormat="1" ht="20.100000000000001" customHeight="1">
      <c r="B22" s="457" t="str">
        <f>IF(B10="","",B10)</f>
        <v/>
      </c>
      <c r="C22" s="458"/>
      <c r="D22" s="459" t="str">
        <f>IF(D10="","",D10)</f>
        <v/>
      </c>
      <c r="E22" s="459"/>
      <c r="F22" s="459"/>
      <c r="G22" s="459"/>
      <c r="H22" s="254"/>
      <c r="I22" s="254"/>
      <c r="J22" s="254"/>
      <c r="K22" s="254"/>
      <c r="L22" s="254"/>
      <c r="M22" s="254"/>
      <c r="N22" s="254"/>
      <c r="O22" s="254"/>
      <c r="P22" s="254"/>
      <c r="Q22" s="254"/>
      <c r="R22" s="254"/>
      <c r="S22" s="254"/>
      <c r="T22" s="254"/>
      <c r="U22" s="254"/>
      <c r="V22" s="254"/>
      <c r="W22" s="254"/>
      <c r="X22" s="254"/>
      <c r="Y22" s="254"/>
      <c r="Z22" s="460" t="str">
        <f>IF(R22="","",IF(-1&lt;=R22,"(11)",IF(H22+N22&gt;=3,"(13)1","(13)2")))</f>
        <v/>
      </c>
      <c r="AA22" s="460"/>
      <c r="AB22" s="365" t="str">
        <f>IF(R22="","",IF(IF(Z22="(11)",AG22,AI22)&lt;0.05,"0.05",IF(Z22="(11)",AG22,AI22)))</f>
        <v/>
      </c>
      <c r="AC22" s="377"/>
      <c r="AE22" s="2">
        <f>IF(P22&gt;0.4,"0.4",P22)</f>
        <v>0</v>
      </c>
      <c r="AG22" s="2">
        <f>1.8-1.36*(H22*(AE22+T22)+N22*(AE22-R22))^0.15-0.01*(6.14-H22)*((J22+0.5*L22)*AH22)^0.5</f>
        <v>1.8</v>
      </c>
      <c r="AH22" s="2">
        <f>IF(MAX(V22,X22)&lt;=0.9,MAX(V22,X22),"0.9")</f>
        <v>0</v>
      </c>
      <c r="AI22" s="2">
        <f>IF((H22+N22)&gt;=3,AJ22,AK22)</f>
        <v>1.8</v>
      </c>
      <c r="AJ22" s="2">
        <f>1.8-1.47*(H22+N22)^0.08</f>
        <v>1.8</v>
      </c>
      <c r="AK22" s="2">
        <f>1.8-1.36*(H22+N22)^0.15</f>
        <v>1.8</v>
      </c>
    </row>
    <row r="23" spans="2:37" s="2" customFormat="1" ht="20.100000000000001" customHeight="1" thickBot="1">
      <c r="B23" s="466" t="str">
        <f>IF(B11="","",B11)</f>
        <v/>
      </c>
      <c r="C23" s="467"/>
      <c r="D23" s="474" t="str">
        <f>IF(D11="","",D11)</f>
        <v/>
      </c>
      <c r="E23" s="474"/>
      <c r="F23" s="474"/>
      <c r="G23" s="474"/>
      <c r="H23" s="200"/>
      <c r="I23" s="200"/>
      <c r="J23" s="200"/>
      <c r="K23" s="200"/>
      <c r="L23" s="200"/>
      <c r="M23" s="200"/>
      <c r="N23" s="200"/>
      <c r="O23" s="200"/>
      <c r="P23" s="200"/>
      <c r="Q23" s="200"/>
      <c r="R23" s="200"/>
      <c r="S23" s="200"/>
      <c r="T23" s="200"/>
      <c r="U23" s="200"/>
      <c r="V23" s="200"/>
      <c r="W23" s="200"/>
      <c r="X23" s="200"/>
      <c r="Y23" s="200"/>
      <c r="Z23" s="470" t="str">
        <f>IF(R23="","",IF(-1&lt;=R23,"(11)",IF(H23+N23&gt;=3,"(13)1","(13)2")))</f>
        <v/>
      </c>
      <c r="AA23" s="470"/>
      <c r="AB23" s="385" t="str">
        <f>IF(R23="","",IF(IF(Z23="(11)",AG23,AI23)&lt;0.05,"0.05",IF(Z23="(11)",AG23,AI23)))</f>
        <v/>
      </c>
      <c r="AC23" s="471"/>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c r="B24" s="2" t="s">
        <v>48</v>
      </c>
    </row>
    <row r="25" spans="2:37" s="2" customFormat="1" ht="20.100000000000001" customHeight="1">
      <c r="B25" s="2" t="s">
        <v>49</v>
      </c>
    </row>
    <row r="26" spans="2:37" s="2" customFormat="1" ht="20.100000000000001" customHeight="1"/>
    <row r="27" spans="2:37" s="2" customFormat="1" ht="20.100000000000001" customHeight="1" thickBot="1">
      <c r="B27" s="4" t="s">
        <v>163</v>
      </c>
    </row>
    <row r="28" spans="2:37" s="2" customFormat="1" ht="20.100000000000001" customHeight="1">
      <c r="B28" s="368" t="s">
        <v>36</v>
      </c>
      <c r="C28" s="363"/>
      <c r="D28" s="363" t="s">
        <v>37</v>
      </c>
      <c r="E28" s="363"/>
      <c r="F28" s="363"/>
      <c r="G28" s="363"/>
      <c r="H28" s="449" t="s">
        <v>50</v>
      </c>
      <c r="I28" s="451"/>
      <c r="J28" s="362" t="s">
        <v>51</v>
      </c>
      <c r="K28" s="148"/>
      <c r="L28" s="363" t="s">
        <v>13</v>
      </c>
      <c r="M28" s="373"/>
    </row>
    <row r="29" spans="2:37" s="2" customFormat="1" ht="20.100000000000001" customHeight="1" thickBot="1">
      <c r="B29" s="369"/>
      <c r="C29" s="364"/>
      <c r="D29" s="364"/>
      <c r="E29" s="364"/>
      <c r="F29" s="364"/>
      <c r="G29" s="364"/>
      <c r="H29" s="452"/>
      <c r="I29" s="452"/>
      <c r="J29" s="364"/>
      <c r="K29" s="443"/>
      <c r="L29" s="364"/>
      <c r="M29" s="374"/>
    </row>
    <row r="30" spans="2:37" s="2" customFormat="1" ht="20.100000000000001" customHeight="1">
      <c r="B30" s="485">
        <f>IF(B7="","",B7)</f>
        <v>1</v>
      </c>
      <c r="C30" s="477"/>
      <c r="D30" s="475" t="str">
        <f>IF(D7="","",D7)</f>
        <v>基礎断熱</v>
      </c>
      <c r="E30" s="476"/>
      <c r="F30" s="476"/>
      <c r="G30" s="477"/>
      <c r="H30" s="478">
        <v>67.34</v>
      </c>
      <c r="I30" s="479"/>
      <c r="J30" s="469">
        <v>1</v>
      </c>
      <c r="K30" s="469"/>
      <c r="L30" s="404">
        <f>IF(H30="","",AB19*H30*J30)</f>
        <v>32.911776976000077</v>
      </c>
      <c r="M30" s="468"/>
    </row>
    <row r="31" spans="2:37" s="2" customFormat="1" ht="20.100000000000001" customHeight="1">
      <c r="B31" s="480" t="str">
        <f>IF(B8="","",B8)</f>
        <v/>
      </c>
      <c r="C31" s="481"/>
      <c r="D31" s="482" t="str">
        <f>IF(D8="","",D8)</f>
        <v/>
      </c>
      <c r="E31" s="483"/>
      <c r="F31" s="483"/>
      <c r="G31" s="484"/>
      <c r="H31" s="318"/>
      <c r="I31" s="279"/>
      <c r="J31" s="472"/>
      <c r="K31" s="472"/>
      <c r="L31" s="413" t="str">
        <f>IF(H31="","",AB20*H31*J31)</f>
        <v/>
      </c>
      <c r="M31" s="490"/>
    </row>
    <row r="32" spans="2:37" s="2" customFormat="1" ht="20.100000000000001" customHeight="1">
      <c r="B32" s="486" t="str">
        <f>IF(B9="","",B9)</f>
        <v/>
      </c>
      <c r="C32" s="484"/>
      <c r="D32" s="482" t="str">
        <f>IF(D9="","",D9)</f>
        <v/>
      </c>
      <c r="E32" s="483"/>
      <c r="F32" s="483"/>
      <c r="G32" s="484"/>
      <c r="H32" s="318"/>
      <c r="I32" s="279"/>
      <c r="J32" s="472"/>
      <c r="K32" s="472"/>
      <c r="L32" s="413" t="str">
        <f>IF(H32="","",AB21*H32*J32)</f>
        <v/>
      </c>
      <c r="M32" s="490"/>
    </row>
    <row r="33" spans="2:25" s="2" customFormat="1" ht="20.100000000000001" customHeight="1">
      <c r="B33" s="486" t="str">
        <f>IF(B10="","",B10)</f>
        <v/>
      </c>
      <c r="C33" s="484"/>
      <c r="D33" s="482" t="str">
        <f>IF(D10="","",D10)</f>
        <v/>
      </c>
      <c r="E33" s="483"/>
      <c r="F33" s="483"/>
      <c r="G33" s="484"/>
      <c r="H33" s="318"/>
      <c r="I33" s="279"/>
      <c r="J33" s="472"/>
      <c r="K33" s="472"/>
      <c r="L33" s="413" t="str">
        <f>IF(H33="","",AB22*H33*J33)</f>
        <v/>
      </c>
      <c r="M33" s="490"/>
    </row>
    <row r="34" spans="2:25" s="2" customFormat="1" ht="20.100000000000001" customHeight="1" thickBot="1">
      <c r="B34" s="494" t="str">
        <f>IF(B11="","",B11)</f>
        <v/>
      </c>
      <c r="C34" s="495"/>
      <c r="D34" s="498" t="str">
        <f>IF(D11="","",D11)</f>
        <v/>
      </c>
      <c r="E34" s="499"/>
      <c r="F34" s="499"/>
      <c r="G34" s="495"/>
      <c r="H34" s="487"/>
      <c r="I34" s="488"/>
      <c r="J34" s="496"/>
      <c r="K34" s="497"/>
      <c r="L34" s="500" t="str">
        <f>IF(H34="","",AB23*H34*J34)</f>
        <v/>
      </c>
      <c r="M34" s="501"/>
    </row>
    <row r="35" spans="2:25" s="2" customFormat="1" ht="20.100000000000001" customHeight="1" thickBot="1">
      <c r="B35" s="491" t="s">
        <v>90</v>
      </c>
      <c r="C35" s="492"/>
      <c r="D35" s="492"/>
      <c r="E35" s="492"/>
      <c r="F35" s="492"/>
      <c r="G35" s="492"/>
      <c r="H35" s="492"/>
      <c r="I35" s="492"/>
      <c r="J35" s="492"/>
      <c r="K35" s="492"/>
      <c r="L35" s="433">
        <f>SUM(L30:M34)</f>
        <v>32.911776976000077</v>
      </c>
      <c r="M35" s="493"/>
    </row>
    <row r="36" spans="2:25" s="2" customFormat="1" ht="20.100000000000001" customHeight="1"/>
    <row r="37" spans="2:25" s="2" customFormat="1" ht="20.100000000000001" customHeight="1"/>
    <row r="38" spans="2:25" s="3" customFormat="1" ht="20.100000000000001" customHeight="1"/>
    <row r="39" spans="2:25" s="3" customFormat="1" ht="20.100000000000001" customHeight="1">
      <c r="Y39" s="2"/>
    </row>
    <row r="40" spans="2:25" s="3" customFormat="1" ht="20.100000000000001" customHeight="1">
      <c r="Y40" s="2"/>
    </row>
    <row r="41" spans="2:25" s="3" customFormat="1" ht="20.100000000000001" customHeight="1"/>
    <row r="42" spans="2:25" s="3" customFormat="1" ht="20.100000000000001" customHeight="1"/>
    <row r="43" spans="2:25" s="3" customFormat="1" ht="20.100000000000001" customHeight="1"/>
    <row r="44" spans="2:25" s="3" customFormat="1" ht="20.100000000000001" customHeight="1"/>
    <row r="45" spans="2:25" s="3" customFormat="1" ht="20.100000000000001" customHeight="1"/>
    <row r="46" spans="2:25" s="3" customFormat="1" ht="20.100000000000001" customHeight="1"/>
    <row r="47" spans="2:25" s="3" customFormat="1" ht="20.100000000000001" customHeight="1"/>
    <row r="48" spans="2:25" s="3" customFormat="1" ht="20.100000000000001" customHeight="1"/>
    <row r="49" s="3" customFormat="1" ht="20.100000000000001" customHeight="1"/>
    <row r="50" s="3" customFormat="1" ht="20.100000000000001" customHeight="1"/>
    <row r="51" s="3" customFormat="1" ht="20.100000000000001" customHeight="1"/>
    <row r="52" s="3" customFormat="1" ht="20.100000000000001" customHeight="1"/>
    <row r="53" s="3" customFormat="1" ht="20.100000000000001" customHeight="1"/>
    <row r="54" s="3" customFormat="1" ht="20.100000000000001" customHeight="1"/>
    <row r="55" s="3" customFormat="1" ht="20.100000000000001" customHeight="1"/>
    <row r="56" s="3" customFormat="1" ht="20.100000000000001" customHeight="1"/>
    <row r="57" s="3" customFormat="1" ht="20.100000000000001" customHeight="1"/>
    <row r="58" s="3" customFormat="1" ht="20.100000000000001" customHeight="1"/>
    <row r="59" s="3" customFormat="1" ht="20.100000000000001" customHeight="1"/>
    <row r="60" s="3" customFormat="1" ht="20.100000000000001" customHeight="1"/>
    <row r="61" s="3" customFormat="1" ht="20.100000000000001" customHeight="1"/>
    <row r="62" s="3" customFormat="1" ht="20.100000000000001" customHeight="1"/>
    <row r="63" s="3" customFormat="1" ht="20.100000000000001" customHeight="1"/>
    <row r="64" s="3" customFormat="1" ht="20.100000000000001" customHeight="1"/>
    <row r="65" s="3" customFormat="1" ht="20.100000000000001" customHeight="1"/>
    <row r="66" s="3" customFormat="1" ht="20.100000000000001" customHeight="1"/>
    <row r="67" s="3" customFormat="1" ht="20.100000000000001" customHeight="1"/>
    <row r="68" s="3" customFormat="1" ht="20.100000000000001" customHeight="1"/>
    <row r="69" s="3" customFormat="1" ht="20.100000000000001" customHeight="1"/>
    <row r="70" s="3" customFormat="1" ht="20.100000000000001" customHeight="1"/>
    <row r="71" s="3" customFormat="1" ht="20.100000000000001" customHeight="1"/>
    <row r="72" s="3" customFormat="1" ht="20.100000000000001" customHeight="1"/>
    <row r="73" s="3" customFormat="1" ht="20.100000000000001" customHeight="1"/>
    <row r="74" s="3" customFormat="1" ht="20.100000000000001" customHeight="1"/>
    <row r="75" s="3" customFormat="1" ht="20.100000000000001" customHeight="1"/>
    <row r="76" s="3" customFormat="1" ht="20.100000000000001" customHeight="1"/>
    <row r="77" s="3" customFormat="1" ht="20.100000000000001" customHeight="1"/>
    <row r="78" s="3" customFormat="1" ht="20.100000000000001" customHeight="1"/>
    <row r="79" s="3" customFormat="1" ht="20.100000000000001" customHeight="1"/>
    <row r="80" s="3" customFormat="1" ht="20.100000000000001" customHeight="1"/>
    <row r="81" s="3" customFormat="1" ht="20.100000000000001" customHeight="1"/>
    <row r="82" s="3" customFormat="1" ht="20.100000000000001" customHeight="1"/>
    <row r="83" s="3" customFormat="1" ht="20.100000000000001" customHeight="1"/>
    <row r="84" s="3" customFormat="1" ht="20.100000000000001" customHeight="1"/>
    <row r="85" s="3" customFormat="1" ht="20.100000000000001" customHeight="1"/>
    <row r="86" s="3" customFormat="1" ht="20.100000000000001" customHeight="1"/>
    <row r="87" s="3" customFormat="1" ht="20.100000000000001" customHeight="1"/>
    <row r="88" s="3" customFormat="1" ht="20.100000000000001" customHeight="1"/>
    <row r="89" s="3" customFormat="1" ht="20.100000000000001" customHeight="1"/>
    <row r="90" s="3" customFormat="1" ht="20.100000000000001" customHeight="1"/>
    <row r="91" s="3" customFormat="1" ht="20.100000000000001" customHeight="1"/>
    <row r="92" s="3" customFormat="1" ht="20.100000000000001" customHeight="1"/>
    <row r="93" s="3" customFormat="1" ht="20.100000000000001" customHeight="1"/>
    <row r="94" s="3" customFormat="1" ht="20.100000000000001" customHeight="1"/>
    <row r="95" s="3" customFormat="1" ht="20.100000000000001" customHeight="1"/>
    <row r="96" s="3" customFormat="1" ht="20.100000000000001" customHeight="1"/>
    <row r="97" s="3" customFormat="1" ht="20.100000000000001" customHeight="1"/>
    <row r="98" s="3" customFormat="1" ht="20.100000000000001" customHeight="1"/>
    <row r="99" s="3" customFormat="1" ht="20.100000000000001" customHeight="1"/>
    <row r="100" s="3" customFormat="1" ht="20.100000000000001" customHeight="1"/>
    <row r="101" s="3" customFormat="1" ht="20.100000000000001" customHeight="1"/>
    <row r="102" s="3" customFormat="1" ht="20.100000000000001" customHeight="1"/>
    <row r="103" s="3" customFormat="1" ht="20.100000000000001" customHeight="1"/>
    <row r="104" s="3" customFormat="1" ht="20.100000000000001" customHeight="1"/>
    <row r="105" s="3" customFormat="1" ht="20.100000000000001" customHeight="1"/>
    <row r="106" s="3" customFormat="1" ht="20.100000000000001" customHeight="1"/>
    <row r="107" s="3" customFormat="1" ht="20.100000000000001" customHeight="1"/>
    <row r="108" s="3" customFormat="1" ht="20.100000000000001" customHeight="1"/>
    <row r="109" s="3" customFormat="1" ht="20.100000000000001" customHeight="1"/>
    <row r="110" s="3" customFormat="1" ht="20.100000000000001" customHeight="1"/>
    <row r="111" s="3" customFormat="1" ht="20.100000000000001" customHeight="1"/>
    <row r="112" s="3" customFormat="1" ht="20.100000000000001" customHeight="1"/>
    <row r="113" s="3" customFormat="1" ht="20.100000000000001" customHeight="1"/>
    <row r="114" s="3" customFormat="1" ht="20.100000000000001" customHeight="1"/>
    <row r="115" s="3" customFormat="1" ht="20.100000000000001" customHeight="1"/>
    <row r="116" s="3" customFormat="1" ht="20.100000000000001" customHeight="1"/>
    <row r="117" s="3" customFormat="1" ht="20.100000000000001" customHeight="1"/>
    <row r="118" s="3" customFormat="1" ht="20.100000000000001" customHeight="1"/>
    <row r="119" s="3" customFormat="1" ht="20.100000000000001" customHeight="1"/>
    <row r="120" s="3" customFormat="1" ht="20.100000000000001" customHeight="1"/>
    <row r="121" s="3" customFormat="1" ht="20.100000000000001" customHeight="1"/>
    <row r="122" s="3" customFormat="1" ht="20.100000000000001" customHeight="1"/>
    <row r="123" s="3" customFormat="1" ht="20.100000000000001" customHeight="1"/>
    <row r="124" s="3" customFormat="1" ht="20.100000000000001" customHeight="1"/>
    <row r="125" s="3" customFormat="1" ht="20.100000000000001" customHeight="1"/>
    <row r="126" s="3" customFormat="1" ht="20.100000000000001" customHeight="1"/>
    <row r="127" s="3" customFormat="1" ht="20.100000000000001" customHeight="1"/>
    <row r="128" s="3" customFormat="1" ht="20.100000000000001" customHeight="1"/>
    <row r="129" s="3" customFormat="1" ht="20.100000000000001" customHeight="1"/>
    <row r="130" s="3" customFormat="1" ht="20.100000000000001" customHeight="1"/>
    <row r="131" s="3" customFormat="1" ht="20.100000000000001" customHeight="1"/>
    <row r="132" s="3" customFormat="1" ht="20.100000000000001" customHeight="1"/>
    <row r="133" s="3" customFormat="1"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sheetData>
  <sheetProtection sheet="1" objects="1" scenarios="1" selectLockedCells="1"/>
  <mergeCells count="132">
    <mergeCell ref="B35:K35"/>
    <mergeCell ref="L35:M35"/>
    <mergeCell ref="B33:C33"/>
    <mergeCell ref="D33:G33"/>
    <mergeCell ref="H33:I33"/>
    <mergeCell ref="B34:C34"/>
    <mergeCell ref="J34:K34"/>
    <mergeCell ref="L33:M33"/>
    <mergeCell ref="D34:G34"/>
    <mergeCell ref="L34:M34"/>
    <mergeCell ref="AB19:AC19"/>
    <mergeCell ref="X19:Y19"/>
    <mergeCell ref="L31:M31"/>
    <mergeCell ref="L32:M32"/>
    <mergeCell ref="L28:M29"/>
    <mergeCell ref="J31:K31"/>
    <mergeCell ref="J32:K32"/>
    <mergeCell ref="B31:C31"/>
    <mergeCell ref="D31:G31"/>
    <mergeCell ref="B30:C30"/>
    <mergeCell ref="B32:C32"/>
    <mergeCell ref="D32:G32"/>
    <mergeCell ref="H34:I34"/>
    <mergeCell ref="H28:I29"/>
    <mergeCell ref="D22:G22"/>
    <mergeCell ref="D23:G23"/>
    <mergeCell ref="H23:I23"/>
    <mergeCell ref="D28:G29"/>
    <mergeCell ref="D30:G30"/>
    <mergeCell ref="H30:I30"/>
    <mergeCell ref="H32:I32"/>
    <mergeCell ref="H31:I31"/>
    <mergeCell ref="B28:C29"/>
    <mergeCell ref="AG17:AK17"/>
    <mergeCell ref="T20:U20"/>
    <mergeCell ref="X17:Y18"/>
    <mergeCell ref="AB20:AC20"/>
    <mergeCell ref="Z17:AA18"/>
    <mergeCell ref="Z20:AA20"/>
    <mergeCell ref="X20:Y20"/>
    <mergeCell ref="AB17:AC18"/>
    <mergeCell ref="J33:K33"/>
    <mergeCell ref="R23:S23"/>
    <mergeCell ref="P23:Q23"/>
    <mergeCell ref="R22:S22"/>
    <mergeCell ref="N23:O23"/>
    <mergeCell ref="T23:U23"/>
    <mergeCell ref="P20:Q20"/>
    <mergeCell ref="R20:S20"/>
    <mergeCell ref="Z22:AA22"/>
    <mergeCell ref="P22:Q22"/>
    <mergeCell ref="V22:W22"/>
    <mergeCell ref="T22:U22"/>
    <mergeCell ref="V23:W23"/>
    <mergeCell ref="AB22:AC22"/>
    <mergeCell ref="X22:Y22"/>
    <mergeCell ref="Z23:AA23"/>
    <mergeCell ref="AB23:AC23"/>
    <mergeCell ref="X23:Y23"/>
    <mergeCell ref="N20:O20"/>
    <mergeCell ref="J21:K21"/>
    <mergeCell ref="J23:K23"/>
    <mergeCell ref="J28:K29"/>
    <mergeCell ref="N22:O22"/>
    <mergeCell ref="L30:M30"/>
    <mergeCell ref="L21:M21"/>
    <mergeCell ref="J30:K30"/>
    <mergeCell ref="L22:M22"/>
    <mergeCell ref="J22:K22"/>
    <mergeCell ref="L23:M23"/>
    <mergeCell ref="J20:K20"/>
    <mergeCell ref="B22:C22"/>
    <mergeCell ref="B23:C23"/>
    <mergeCell ref="L20:M20"/>
    <mergeCell ref="H22:I22"/>
    <mergeCell ref="B10:C10"/>
    <mergeCell ref="D10:G10"/>
    <mergeCell ref="H10:I10"/>
    <mergeCell ref="B20:C20"/>
    <mergeCell ref="D20:G20"/>
    <mergeCell ref="H20:I20"/>
    <mergeCell ref="D17:G18"/>
    <mergeCell ref="B11:C11"/>
    <mergeCell ref="B12:G12"/>
    <mergeCell ref="H12:I12"/>
    <mergeCell ref="B17:C18"/>
    <mergeCell ref="H11:I11"/>
    <mergeCell ref="D11:G11"/>
    <mergeCell ref="AB21:AC21"/>
    <mergeCell ref="N21:O21"/>
    <mergeCell ref="B21:C21"/>
    <mergeCell ref="D21:G21"/>
    <mergeCell ref="H21:I21"/>
    <mergeCell ref="R21:S21"/>
    <mergeCell ref="Z21:AA21"/>
    <mergeCell ref="P21:Q21"/>
    <mergeCell ref="V21:W21"/>
    <mergeCell ref="X21:Y21"/>
    <mergeCell ref="V20:W20"/>
    <mergeCell ref="T21:U21"/>
    <mergeCell ref="Z19:AA19"/>
    <mergeCell ref="V17:W18"/>
    <mergeCell ref="V19:W19"/>
    <mergeCell ref="T17:U18"/>
    <mergeCell ref="T19:U19"/>
    <mergeCell ref="L19:M19"/>
    <mergeCell ref="N19:O19"/>
    <mergeCell ref="B19:C19"/>
    <mergeCell ref="H19:I19"/>
    <mergeCell ref="D19:G19"/>
    <mergeCell ref="J19:K19"/>
    <mergeCell ref="R17:S18"/>
    <mergeCell ref="P19:Q19"/>
    <mergeCell ref="H17:I18"/>
    <mergeCell ref="J17:K18"/>
    <mergeCell ref="L17:M18"/>
    <mergeCell ref="N17:O18"/>
    <mergeCell ref="P17:Q18"/>
    <mergeCell ref="R19:S19"/>
    <mergeCell ref="B9:C9"/>
    <mergeCell ref="H8:I8"/>
    <mergeCell ref="D8:G8"/>
    <mergeCell ref="D9:G9"/>
    <mergeCell ref="H9:I9"/>
    <mergeCell ref="B8:C8"/>
    <mergeCell ref="B7:C7"/>
    <mergeCell ref="D7:G7"/>
    <mergeCell ref="H7:I7"/>
    <mergeCell ref="B2:AC2"/>
    <mergeCell ref="B5:C6"/>
    <mergeCell ref="D5:G6"/>
    <mergeCell ref="H5:I6"/>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formula1>"基礎断熱,玄関土間,勝手口土間,その他"</formula1>
    </dataValidation>
    <dataValidation type="list" allowBlank="1" showInputMessage="1" showErrorMessage="1" sqref="J30:K34">
      <formula1>"　,1.0,0.7"</formula1>
    </dataValidation>
  </dataValidations>
  <printOptions horizontalCentered="1"/>
  <pageMargins left="0.59055118110236227" right="0.15748031496062992"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drawing r:id="rId2"/>
</worksheet>
</file>

<file path=xl/worksheets/sheet13.xml><?xml version="1.0" encoding="utf-8"?>
<worksheet xmlns="http://schemas.openxmlformats.org/spreadsheetml/2006/main" xmlns:r="http://schemas.openxmlformats.org/officeDocument/2006/relationships">
  <sheetPr codeName="Sheet14">
    <tabColor rgb="FF00B050"/>
  </sheetPr>
  <dimension ref="B1:F40"/>
  <sheetViews>
    <sheetView showGridLines="0" view="pageBreakPreview" zoomScaleNormal="100" zoomScaleSheetLayoutView="100" workbookViewId="0">
      <selection activeCell="I42" sqref="I42"/>
    </sheetView>
  </sheetViews>
  <sheetFormatPr defaultRowHeight="13.5"/>
  <cols>
    <col min="1" max="1" width="0.75" customWidth="1"/>
    <col min="2" max="2" width="10.5" bestFit="1" customWidth="1"/>
  </cols>
  <sheetData>
    <row r="1" spans="2:2" ht="3" customHeight="1"/>
    <row r="2" spans="2:2">
      <c r="B2" t="s">
        <v>100</v>
      </c>
    </row>
    <row r="3" spans="2:2">
      <c r="B3" s="83">
        <v>42570</v>
      </c>
    </row>
    <row r="4" spans="2:2">
      <c r="B4" t="s">
        <v>214</v>
      </c>
    </row>
    <row r="5" spans="2:2">
      <c r="B5" t="s">
        <v>101</v>
      </c>
    </row>
    <row r="6" spans="2:2">
      <c r="B6" t="s">
        <v>195</v>
      </c>
    </row>
    <row r="9" spans="2:2">
      <c r="B9" s="83">
        <v>42627</v>
      </c>
    </row>
    <row r="10" spans="2:2">
      <c r="B10" t="s">
        <v>213</v>
      </c>
    </row>
    <row r="11" spans="2:2">
      <c r="B11" t="s">
        <v>101</v>
      </c>
    </row>
    <row r="12" spans="2:2">
      <c r="B12" t="s">
        <v>196</v>
      </c>
    </row>
    <row r="14" spans="2:2">
      <c r="B14" s="83">
        <v>43341</v>
      </c>
    </row>
    <row r="15" spans="2:2">
      <c r="B15" t="s">
        <v>212</v>
      </c>
    </row>
    <row r="16" spans="2:2">
      <c r="B16" t="s">
        <v>203</v>
      </c>
    </row>
    <row r="17" spans="2:6">
      <c r="B17" t="s">
        <v>204</v>
      </c>
    </row>
    <row r="19" spans="2:6">
      <c r="B19" s="91">
        <v>43435</v>
      </c>
      <c r="C19" s="92"/>
      <c r="D19" s="92"/>
      <c r="E19" s="92"/>
      <c r="F19" s="92"/>
    </row>
    <row r="20" spans="2:6">
      <c r="B20" s="92" t="s">
        <v>211</v>
      </c>
      <c r="C20" s="92"/>
      <c r="D20" s="92"/>
      <c r="E20" s="92"/>
      <c r="F20" s="92"/>
    </row>
    <row r="21" spans="2:6">
      <c r="B21" s="92" t="s">
        <v>206</v>
      </c>
      <c r="C21" s="92"/>
      <c r="D21" s="92"/>
      <c r="E21" s="92"/>
      <c r="F21" s="92"/>
    </row>
    <row r="22" spans="2:6">
      <c r="B22" s="92" t="s">
        <v>210</v>
      </c>
      <c r="C22" s="92"/>
      <c r="D22" s="92"/>
      <c r="E22" s="92"/>
      <c r="F22" s="92"/>
    </row>
    <row r="24" spans="2:6">
      <c r="B24" s="83">
        <v>43614</v>
      </c>
    </row>
    <row r="25" spans="2:6">
      <c r="B25" s="92" t="s">
        <v>223</v>
      </c>
    </row>
    <row r="26" spans="2:6">
      <c r="B26" s="92" t="s">
        <v>217</v>
      </c>
    </row>
    <row r="27" spans="2:6">
      <c r="B27" s="92" t="s">
        <v>215</v>
      </c>
    </row>
    <row r="28" spans="2:6">
      <c r="B28" s="92" t="s">
        <v>216</v>
      </c>
    </row>
    <row r="29" spans="2:6">
      <c r="B29" s="92" t="s">
        <v>218</v>
      </c>
    </row>
    <row r="30" spans="2:6">
      <c r="B30" s="92" t="s">
        <v>219</v>
      </c>
    </row>
    <row r="31" spans="2:6">
      <c r="B31" s="92" t="s">
        <v>220</v>
      </c>
    </row>
    <row r="32" spans="2:6">
      <c r="B32" s="92" t="s">
        <v>221</v>
      </c>
    </row>
    <row r="34" spans="2:2">
      <c r="B34" s="83">
        <v>43858</v>
      </c>
    </row>
    <row r="35" spans="2:2">
      <c r="B35" s="92" t="s">
        <v>234</v>
      </c>
    </row>
    <row r="36" spans="2:2">
      <c r="B36" s="92" t="s">
        <v>222</v>
      </c>
    </row>
    <row r="38" spans="2:2">
      <c r="B38" s="97" t="s">
        <v>236</v>
      </c>
    </row>
    <row r="39" spans="2:2">
      <c r="B39" s="92" t="s">
        <v>233</v>
      </c>
    </row>
    <row r="40" spans="2:2">
      <c r="B40" s="92" t="s">
        <v>235</v>
      </c>
    </row>
  </sheetData>
  <sheetProtection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sheetPr codeName="Sheet2">
    <tabColor rgb="FFFF0000"/>
  </sheetPr>
  <dimension ref="B1:AN147"/>
  <sheetViews>
    <sheetView showGridLines="0" tabSelected="1" view="pageBreakPreview" zoomScaleNormal="100" zoomScaleSheetLayoutView="100" workbookViewId="0">
      <selection activeCell="K7" sqref="K7:W7"/>
    </sheetView>
  </sheetViews>
  <sheetFormatPr defaultRowHeight="13.5"/>
  <cols>
    <col min="1" max="1" width="0.75" customWidth="1"/>
    <col min="2" max="29" width="3.625" customWidth="1"/>
    <col min="30" max="31" width="3.625" hidden="1" customWidth="1"/>
    <col min="32" max="32" width="8" hidden="1" customWidth="1"/>
    <col min="33" max="38" width="10.625" hidden="1" customWidth="1"/>
    <col min="39" max="53" width="3.625" customWidth="1"/>
  </cols>
  <sheetData>
    <row r="1" spans="2:40" ht="4.5" customHeight="1"/>
    <row r="2" spans="2:40" ht="30" customHeight="1">
      <c r="B2" s="118" t="s">
        <v>181</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2:40" ht="24.95" customHeight="1">
      <c r="B3" s="119" t="s">
        <v>180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row>
    <row r="4" spans="2:40" ht="30" customHeight="1">
      <c r="AG4" s="159" t="s">
        <v>94</v>
      </c>
      <c r="AH4" s="159"/>
      <c r="AI4" s="159"/>
      <c r="AJ4" s="159"/>
      <c r="AK4" s="159"/>
      <c r="AL4" s="159"/>
    </row>
    <row r="5" spans="2:40" ht="30" customHeight="1" thickBot="1">
      <c r="B5" s="4" t="s">
        <v>26</v>
      </c>
      <c r="AF5" s="57"/>
      <c r="AG5" s="160" t="s">
        <v>151</v>
      </c>
      <c r="AH5" s="160"/>
      <c r="AI5" s="160" t="s">
        <v>152</v>
      </c>
      <c r="AJ5" s="160"/>
      <c r="AK5" s="160" t="s">
        <v>153</v>
      </c>
      <c r="AL5" s="160"/>
    </row>
    <row r="6" spans="2:40" s="2" customFormat="1" ht="30" customHeight="1">
      <c r="B6" s="120" t="s">
        <v>27</v>
      </c>
      <c r="C6" s="121"/>
      <c r="D6" s="121"/>
      <c r="E6" s="121"/>
      <c r="F6" s="121"/>
      <c r="G6" s="121"/>
      <c r="H6" s="121"/>
      <c r="I6" s="122"/>
      <c r="J6" s="13"/>
      <c r="K6" s="161"/>
      <c r="L6" s="161"/>
      <c r="M6" s="161"/>
      <c r="N6" s="161"/>
      <c r="O6" s="161"/>
      <c r="P6" s="161"/>
      <c r="Q6" s="161"/>
      <c r="R6" s="161"/>
      <c r="S6" s="161"/>
      <c r="T6" s="161"/>
      <c r="U6" s="161"/>
      <c r="V6" s="161"/>
      <c r="W6" s="161"/>
      <c r="X6" s="161"/>
      <c r="Y6" s="161"/>
      <c r="Z6" s="161"/>
      <c r="AA6" s="161"/>
      <c r="AB6" s="161"/>
      <c r="AC6" s="162"/>
      <c r="AF6" s="57"/>
      <c r="AG6" s="58" t="s">
        <v>154</v>
      </c>
      <c r="AH6" s="58" t="s">
        <v>155</v>
      </c>
      <c r="AI6" s="58" t="s">
        <v>154</v>
      </c>
      <c r="AJ6" s="58" t="s">
        <v>155</v>
      </c>
      <c r="AK6" s="58" t="s">
        <v>154</v>
      </c>
      <c r="AL6" s="58" t="s">
        <v>155</v>
      </c>
    </row>
    <row r="7" spans="2:40" s="2" customFormat="1" ht="30" customHeight="1">
      <c r="B7" s="125" t="s">
        <v>28</v>
      </c>
      <c r="C7" s="126"/>
      <c r="D7" s="126"/>
      <c r="E7" s="126"/>
      <c r="F7" s="126"/>
      <c r="G7" s="126"/>
      <c r="H7" s="126"/>
      <c r="I7" s="127"/>
      <c r="J7" s="14"/>
      <c r="K7" s="128" t="s">
        <v>246</v>
      </c>
      <c r="L7" s="128"/>
      <c r="M7" s="128"/>
      <c r="N7" s="128"/>
      <c r="O7" s="128"/>
      <c r="P7" s="128"/>
      <c r="Q7" s="128"/>
      <c r="R7" s="128"/>
      <c r="S7" s="128"/>
      <c r="T7" s="128"/>
      <c r="U7" s="128"/>
      <c r="V7" s="128"/>
      <c r="W7" s="129"/>
      <c r="X7" s="132" t="s">
        <v>30</v>
      </c>
      <c r="Y7" s="133"/>
      <c r="Z7" s="133"/>
      <c r="AA7" s="130" t="s">
        <v>239</v>
      </c>
      <c r="AB7" s="130"/>
      <c r="AC7" s="131"/>
      <c r="AF7" s="58" t="s">
        <v>183</v>
      </c>
      <c r="AG7" s="58">
        <v>0.46</v>
      </c>
      <c r="AH7" s="59" t="s">
        <v>156</v>
      </c>
      <c r="AI7" s="58">
        <v>0.54</v>
      </c>
      <c r="AJ7" s="59" t="s">
        <v>156</v>
      </c>
      <c r="AK7" s="58">
        <v>0.72</v>
      </c>
      <c r="AL7" s="59" t="s">
        <v>156</v>
      </c>
    </row>
    <row r="8" spans="2:40" s="2" customFormat="1" ht="30" customHeight="1" thickBot="1">
      <c r="B8" s="113" t="s">
        <v>29</v>
      </c>
      <c r="C8" s="114"/>
      <c r="D8" s="114"/>
      <c r="E8" s="114"/>
      <c r="F8" s="114"/>
      <c r="G8" s="114"/>
      <c r="H8" s="114"/>
      <c r="I8" s="115"/>
      <c r="J8" s="12"/>
      <c r="K8" s="21"/>
      <c r="L8" s="21"/>
      <c r="M8" s="116" t="s">
        <v>31</v>
      </c>
      <c r="N8" s="116"/>
      <c r="O8" s="117">
        <v>1</v>
      </c>
      <c r="P8" s="117"/>
      <c r="Q8" s="21" t="s">
        <v>2</v>
      </c>
      <c r="R8" s="116" t="s">
        <v>32</v>
      </c>
      <c r="S8" s="116"/>
      <c r="T8" s="117"/>
      <c r="U8" s="117"/>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c r="AF9" s="58" t="s">
        <v>185</v>
      </c>
      <c r="AG9" s="58">
        <v>0.56000000000000005</v>
      </c>
      <c r="AH9" s="59" t="s">
        <v>156</v>
      </c>
      <c r="AI9" s="58">
        <v>1.04</v>
      </c>
      <c r="AJ9" s="59" t="s">
        <v>156</v>
      </c>
      <c r="AK9" s="58">
        <v>1.21</v>
      </c>
      <c r="AL9" s="59" t="s">
        <v>156</v>
      </c>
    </row>
    <row r="10" spans="2:40" s="2" customFormat="1" ht="30" customHeight="1" thickBot="1">
      <c r="B10" s="4" t="s">
        <v>33</v>
      </c>
      <c r="AF10" s="58" t="s">
        <v>186</v>
      </c>
      <c r="AG10" s="58">
        <v>0.75</v>
      </c>
      <c r="AH10" s="59" t="s">
        <v>156</v>
      </c>
      <c r="AI10" s="58">
        <v>1.25</v>
      </c>
      <c r="AJ10" s="59" t="s">
        <v>156</v>
      </c>
      <c r="AK10" s="58">
        <v>1.47</v>
      </c>
      <c r="AL10" s="59" t="s">
        <v>156</v>
      </c>
    </row>
    <row r="11" spans="2:40" s="2" customFormat="1" ht="30" customHeight="1">
      <c r="B11" s="163" t="s">
        <v>174</v>
      </c>
      <c r="C11" s="164"/>
      <c r="D11" s="164"/>
      <c r="E11" s="164"/>
      <c r="F11" s="164"/>
      <c r="G11" s="164"/>
      <c r="H11" s="164"/>
      <c r="I11" s="165"/>
      <c r="J11" s="166">
        <f ca="1">ROUND('Ａ（北）'!L41+'Ａ（北東）'!L41+'Ａ（東）'!L41+'Ａ（南東）'!L41+'Ａ（南）'!L41+'Ａ（南西）'!L41+'Ａ（西）'!L41+'Ａ（北西）'!L41+'Ｂ（屋根・床等）'!P30+'Ｃ（基礎）'!H12,2)</f>
        <v>527.16999999999996</v>
      </c>
      <c r="K11" s="167"/>
      <c r="L11" s="167"/>
      <c r="M11" s="170" t="s">
        <v>24</v>
      </c>
      <c r="N11" s="171"/>
      <c r="O11" s="163" t="s">
        <v>177</v>
      </c>
      <c r="P11" s="164"/>
      <c r="Q11" s="164"/>
      <c r="R11" s="164"/>
      <c r="S11" s="164"/>
      <c r="T11" s="164"/>
      <c r="U11" s="164"/>
      <c r="V11" s="164"/>
      <c r="W11" s="165"/>
      <c r="X11" s="99">
        <f>IF(AH20=0,0,ROUNDUP((AH20/J11)*100,1))</f>
        <v>1.4000000000000001</v>
      </c>
      <c r="Y11" s="100"/>
      <c r="Z11" s="100"/>
      <c r="AA11" s="100"/>
      <c r="AB11" s="81"/>
      <c r="AC11" s="82"/>
      <c r="AF11" s="58" t="s">
        <v>187</v>
      </c>
      <c r="AG11" s="58">
        <v>0.87</v>
      </c>
      <c r="AH11" s="59">
        <v>3</v>
      </c>
      <c r="AI11" s="58">
        <v>1.54</v>
      </c>
      <c r="AJ11" s="59">
        <v>4</v>
      </c>
      <c r="AK11" s="58">
        <v>1.67</v>
      </c>
      <c r="AL11" s="59" t="s">
        <v>156</v>
      </c>
    </row>
    <row r="12" spans="2:40" s="2" customFormat="1" ht="30" customHeight="1" thickBot="1">
      <c r="B12" s="113" t="s">
        <v>175</v>
      </c>
      <c r="C12" s="114"/>
      <c r="D12" s="114"/>
      <c r="E12" s="114"/>
      <c r="F12" s="114"/>
      <c r="G12" s="114"/>
      <c r="H12" s="114"/>
      <c r="I12" s="115"/>
      <c r="J12" s="110">
        <f>IF(AH19=0,0,ROUNDUP(AH19/J11,2))</f>
        <v>0.44</v>
      </c>
      <c r="K12" s="110"/>
      <c r="L12" s="110"/>
      <c r="M12" s="168" t="s">
        <v>176</v>
      </c>
      <c r="N12" s="169"/>
      <c r="O12" s="113" t="s">
        <v>178</v>
      </c>
      <c r="P12" s="114"/>
      <c r="Q12" s="114"/>
      <c r="R12" s="114"/>
      <c r="S12" s="114"/>
      <c r="T12" s="114"/>
      <c r="U12" s="114"/>
      <c r="V12" s="114"/>
      <c r="W12" s="115"/>
      <c r="X12" s="109">
        <f>IF(AH21=0,0,ROUNDDOWN((AH21/J11)*100,1))</f>
        <v>1.2</v>
      </c>
      <c r="Y12" s="110"/>
      <c r="Z12" s="110"/>
      <c r="AA12" s="110"/>
      <c r="AB12" s="123"/>
      <c r="AC12" s="124"/>
      <c r="AF12" s="58" t="s">
        <v>188</v>
      </c>
      <c r="AG12" s="58">
        <v>0.87</v>
      </c>
      <c r="AH12" s="59">
        <v>2.8</v>
      </c>
      <c r="AI12" s="58">
        <v>1.54</v>
      </c>
      <c r="AJ12" s="59">
        <v>3.8</v>
      </c>
      <c r="AK12" s="58">
        <v>1.67</v>
      </c>
      <c r="AL12" s="59" t="s">
        <v>156</v>
      </c>
    </row>
    <row r="13" spans="2:40" s="2" customFormat="1" ht="30" customHeight="1">
      <c r="B13" s="41"/>
      <c r="C13" s="41"/>
      <c r="D13" s="41"/>
      <c r="E13" s="41"/>
      <c r="F13" s="41"/>
      <c r="G13" s="41"/>
      <c r="H13" s="41"/>
      <c r="I13" s="41"/>
      <c r="J13" s="60"/>
      <c r="K13" s="60"/>
      <c r="L13" s="60"/>
      <c r="M13" s="78"/>
      <c r="N13" s="80"/>
      <c r="AF13" s="58" t="s">
        <v>189</v>
      </c>
      <c r="AG13" s="58">
        <v>0.87</v>
      </c>
      <c r="AH13" s="59">
        <v>2.7</v>
      </c>
      <c r="AI13" s="58">
        <v>1.81</v>
      </c>
      <c r="AJ13" s="59">
        <v>4</v>
      </c>
      <c r="AK13" s="58">
        <v>2.35</v>
      </c>
      <c r="AL13" s="59" t="s">
        <v>156</v>
      </c>
      <c r="AM13" s="60"/>
      <c r="AN13" s="60"/>
    </row>
    <row r="14" spans="2:40" s="2" customFormat="1" ht="30" customHeight="1">
      <c r="O14" s="6"/>
      <c r="P14" s="6"/>
      <c r="Q14" s="6"/>
      <c r="R14" s="6"/>
      <c r="S14" s="6"/>
      <c r="T14" s="6"/>
      <c r="U14" s="6"/>
      <c r="V14" s="6"/>
      <c r="W14" s="6"/>
      <c r="X14" s="6"/>
      <c r="Y14" s="6"/>
      <c r="Z14" s="18"/>
      <c r="AA14" s="20"/>
      <c r="AB14" s="20"/>
      <c r="AC14" s="19"/>
      <c r="AF14" s="58" t="s">
        <v>190</v>
      </c>
      <c r="AG14" s="58" t="s">
        <v>156</v>
      </c>
      <c r="AH14" s="95">
        <v>6.7</v>
      </c>
      <c r="AI14" s="58" t="s">
        <v>156</v>
      </c>
      <c r="AJ14" s="96" t="s">
        <v>156</v>
      </c>
      <c r="AK14" s="58" t="s">
        <v>156</v>
      </c>
      <c r="AL14" s="59" t="s">
        <v>156</v>
      </c>
    </row>
    <row r="15" spans="2:40" s="2" customFormat="1" ht="30" customHeight="1" thickBot="1">
      <c r="B15" s="4" t="s">
        <v>95</v>
      </c>
    </row>
    <row r="16" spans="2:40" s="2" customFormat="1" ht="30" customHeight="1" thickBot="1">
      <c r="B16" s="142"/>
      <c r="C16" s="143"/>
      <c r="D16" s="143"/>
      <c r="E16" s="143"/>
      <c r="F16" s="143"/>
      <c r="G16" s="143"/>
      <c r="H16" s="143"/>
      <c r="I16" s="144"/>
      <c r="J16" s="145" t="s">
        <v>96</v>
      </c>
      <c r="K16" s="146"/>
      <c r="L16" s="146"/>
      <c r="M16" s="146"/>
      <c r="N16" s="146"/>
      <c r="O16" s="146" t="s">
        <v>97</v>
      </c>
      <c r="P16" s="146"/>
      <c r="Q16" s="146"/>
      <c r="R16" s="146"/>
      <c r="S16" s="146"/>
      <c r="T16" s="138" t="s">
        <v>98</v>
      </c>
      <c r="U16" s="138"/>
      <c r="V16" s="138"/>
      <c r="W16" s="138"/>
      <c r="X16" s="139"/>
      <c r="Z16" s="63"/>
      <c r="AA16" s="148" t="s">
        <v>157</v>
      </c>
      <c r="AB16" s="149"/>
      <c r="AC16" s="150"/>
    </row>
    <row r="17" spans="2:38" s="2" customFormat="1" ht="30" customHeight="1">
      <c r="B17" s="157" t="s">
        <v>191</v>
      </c>
      <c r="C17" s="149"/>
      <c r="D17" s="149"/>
      <c r="E17" s="149"/>
      <c r="F17" s="149"/>
      <c r="G17" s="149"/>
      <c r="H17" s="149"/>
      <c r="I17" s="149"/>
      <c r="J17" s="158">
        <f>J12</f>
        <v>0.44</v>
      </c>
      <c r="K17" s="102"/>
      <c r="L17" s="102"/>
      <c r="M17" s="140" t="s">
        <v>34</v>
      </c>
      <c r="N17" s="141"/>
      <c r="O17" s="101">
        <f>IF(AF17=1,AG17,IF(AF17=2,AI17,IF(AF17=3,AK17,"-")))</f>
        <v>0.87</v>
      </c>
      <c r="P17" s="102"/>
      <c r="Q17" s="102"/>
      <c r="R17" s="140" t="s">
        <v>34</v>
      </c>
      <c r="S17" s="141"/>
      <c r="T17" s="136" t="str">
        <f>IF(O17="-","",(IF(O17&gt;=J17,"適合","不適合")))</f>
        <v>適合</v>
      </c>
      <c r="U17" s="136"/>
      <c r="V17" s="136"/>
      <c r="W17" s="136"/>
      <c r="X17" s="137"/>
      <c r="Z17" s="64"/>
      <c r="AA17" s="151" t="s">
        <v>158</v>
      </c>
      <c r="AB17" s="152"/>
      <c r="AC17" s="153"/>
      <c r="AF17" s="76">
        <v>1</v>
      </c>
      <c r="AG17" s="61">
        <f>VLOOKUP(AA7,$AF$7:$AL$14,2,FALSE)</f>
        <v>0.87</v>
      </c>
      <c r="AH17" s="62">
        <f>VLOOKUP(AA7,$AF$7:$AL$14,3,FALSE)</f>
        <v>2.8</v>
      </c>
      <c r="AI17" s="61">
        <f>VLOOKUP(AA7,$AF$7:$AL$14,4,FALSE)</f>
        <v>1.54</v>
      </c>
      <c r="AJ17" s="62">
        <f>VLOOKUP(AA7,$AF$7:$AL$14,5,FALSE)</f>
        <v>3.8</v>
      </c>
      <c r="AK17" s="61">
        <f>VLOOKUP(AA7,$AF$7:$AL$14,6,FALSE)</f>
        <v>1.67</v>
      </c>
      <c r="AL17" s="61" t="str">
        <f>VLOOKUP(AA7,$AF$7:$AL$14,7,FALSE)</f>
        <v>-</v>
      </c>
    </row>
    <row r="18" spans="2:38" s="2" customFormat="1" ht="30" customHeight="1" thickBot="1">
      <c r="B18" s="107" t="s">
        <v>179</v>
      </c>
      <c r="C18" s="108"/>
      <c r="D18" s="108"/>
      <c r="E18" s="108"/>
      <c r="F18" s="108"/>
      <c r="G18" s="108"/>
      <c r="H18" s="108"/>
      <c r="I18" s="108"/>
      <c r="J18" s="109">
        <f>X11</f>
        <v>1.4000000000000001</v>
      </c>
      <c r="K18" s="110"/>
      <c r="L18" s="110"/>
      <c r="M18" s="111"/>
      <c r="N18" s="112"/>
      <c r="O18" s="103">
        <f>IF(AF17=1,AH17,IF(AF17=2,AJ17,IF(AF17=3,AL17,"-")))</f>
        <v>2.8</v>
      </c>
      <c r="P18" s="104"/>
      <c r="Q18" s="104"/>
      <c r="R18" s="111"/>
      <c r="S18" s="112"/>
      <c r="T18" s="134" t="str">
        <f>IF(O18="-","",(IF(O18&gt;=J18,"適合","不適合")))</f>
        <v>適合</v>
      </c>
      <c r="U18" s="134"/>
      <c r="V18" s="134"/>
      <c r="W18" s="134"/>
      <c r="X18" s="135"/>
      <c r="Z18" s="65"/>
      <c r="AA18" s="154" t="s">
        <v>159</v>
      </c>
      <c r="AB18" s="155"/>
      <c r="AC18" s="156"/>
    </row>
    <row r="19" spans="2:38" s="2" customFormat="1" ht="30" customHeight="1">
      <c r="AF19" s="147" t="s">
        <v>173</v>
      </c>
      <c r="AG19" s="79" t="s">
        <v>182</v>
      </c>
      <c r="AH19" s="77">
        <f ca="1">'Ａ（北）'!W44+'Ａ（北東）'!W44+'Ａ（東）'!W44+'Ａ（南東）'!W44+'Ａ（南）'!W44+'Ａ（南西）'!W44+'Ａ（西）'!W44+'Ａ（北西）'!W44+'Ｂ（屋根・床等）'!W33+'Ｃ（基礎）'!L35</f>
        <v>228.14557872557273</v>
      </c>
    </row>
    <row r="20" spans="2:38" s="2" customFormat="1" ht="30" customHeight="1">
      <c r="AF20" s="147"/>
      <c r="AG20" s="58" t="s">
        <v>171</v>
      </c>
      <c r="AH20" s="77">
        <f ca="1">'Ａ（北）'!W42+'Ａ（北東）'!W42+'Ａ（東）'!W42+'Ａ（南東）'!W42+'Ａ（南）'!W42+'Ａ（南西）'!W42+'Ａ（西）'!W42+'Ａ（北西）'!W42+'Ｂ（屋根・床等）'!W31</f>
        <v>6.8536384441544005</v>
      </c>
    </row>
    <row r="21" spans="2:38" s="2" customFormat="1" ht="30" customHeight="1">
      <c r="C21" s="6"/>
      <c r="D21" s="6"/>
      <c r="E21" s="6"/>
      <c r="F21" s="6"/>
      <c r="G21" s="6"/>
      <c r="H21" s="6"/>
      <c r="I21" s="6"/>
      <c r="J21" s="6"/>
      <c r="K21" s="6"/>
      <c r="L21" s="6"/>
      <c r="M21" s="6"/>
      <c r="N21" s="6"/>
      <c r="O21" s="6"/>
      <c r="P21" s="6"/>
      <c r="Q21" s="6"/>
      <c r="R21" s="6"/>
      <c r="S21" s="6"/>
      <c r="T21" s="6"/>
      <c r="U21" s="6"/>
      <c r="V21" s="6"/>
      <c r="W21" s="6"/>
      <c r="X21" s="6"/>
      <c r="Y21" s="6"/>
      <c r="Z21" s="6"/>
      <c r="AA21" s="6"/>
      <c r="AB21" s="6"/>
      <c r="AF21" s="147"/>
      <c r="AG21" s="58" t="s">
        <v>172</v>
      </c>
      <c r="AH21" s="77">
        <f ca="1">'Ａ（北）'!W43+'Ａ（北東）'!W43+'Ａ（東）'!W43+'Ａ（南東）'!W43+'Ａ（南）'!W43+'Ａ（南西）'!W43+'Ａ（西）'!W43+'Ａ（北西）'!W43+'Ｂ（屋根・床等）'!W32</f>
        <v>6.6904535282354018</v>
      </c>
    </row>
    <row r="22" spans="2:38" s="2" customFormat="1" ht="30" customHeight="1">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c r="C23" s="7" t="s">
        <v>224</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c r="C24" s="7" t="s">
        <v>225</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c r="C25" s="7" t="s">
        <v>226</v>
      </c>
      <c r="D25" s="6"/>
      <c r="E25" s="6"/>
      <c r="F25" s="6"/>
      <c r="G25" s="105" t="s">
        <v>83</v>
      </c>
      <c r="H25" s="106"/>
      <c r="I25" s="7" t="s">
        <v>82</v>
      </c>
      <c r="K25" s="6"/>
      <c r="L25" s="6"/>
      <c r="M25" s="6"/>
      <c r="N25" s="6"/>
      <c r="O25" s="6"/>
      <c r="P25" s="6"/>
      <c r="Q25" s="6"/>
      <c r="R25" s="6"/>
      <c r="S25" s="6"/>
      <c r="T25" s="6"/>
      <c r="U25" s="6"/>
      <c r="V25" s="6"/>
      <c r="W25" s="6"/>
      <c r="X25" s="6"/>
      <c r="Y25" s="6"/>
      <c r="Z25" s="6"/>
      <c r="AA25" s="6"/>
      <c r="AB25" s="15"/>
      <c r="AG25"/>
    </row>
    <row r="26" spans="2:38" s="2" customFormat="1" ht="30" customHeight="1">
      <c r="C26" s="7" t="s">
        <v>227</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c r="C27" s="7" t="s">
        <v>228</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row r="30" spans="2:38" s="2" customFormat="1" ht="30" customHeight="1"/>
    <row r="31" spans="2:38" s="2" customFormat="1" ht="30" customHeight="1"/>
    <row r="32" spans="2:3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20.100000000000001" customHeight="1"/>
    <row r="38" s="2" customFormat="1" ht="20.100000000000001" customHeight="1"/>
    <row r="39" s="2" customFormat="1" ht="20.100000000000001" customHeight="1"/>
    <row r="40" s="2" customFormat="1" ht="20.100000000000001" customHeight="1"/>
    <row r="41" s="2" customFormat="1" ht="20.100000000000001" customHeight="1"/>
    <row r="42" s="2" customFormat="1" ht="20.100000000000001" customHeight="1"/>
    <row r="43" s="2" customFormat="1" ht="20.100000000000001" customHeight="1"/>
    <row r="44" s="2" customFormat="1" ht="20.100000000000001" customHeight="1"/>
    <row r="45" s="2" customFormat="1" ht="20.100000000000001" customHeight="1"/>
    <row r="46" s="2" customFormat="1" ht="20.100000000000001" customHeight="1"/>
    <row r="47" s="2" customFormat="1" ht="20.100000000000001" customHeight="1"/>
    <row r="48" s="2" customFormat="1" ht="20.100000000000001" customHeight="1"/>
    <row r="49" s="2" customFormat="1" ht="20.100000000000001" customHeight="1"/>
    <row r="50" s="2" customFormat="1" ht="20.100000000000001" customHeight="1"/>
    <row r="51" s="2" customFormat="1" ht="20.100000000000001" customHeight="1"/>
    <row r="52" s="2" customFormat="1" ht="20.100000000000001" customHeight="1"/>
    <row r="53" s="2" customFormat="1" ht="20.100000000000001" customHeight="1"/>
    <row r="54" s="2" customFormat="1" ht="20.100000000000001" customHeight="1"/>
    <row r="55" s="2" customFormat="1" ht="20.100000000000001" customHeight="1"/>
    <row r="56" s="2" customFormat="1" ht="20.100000000000001" customHeight="1"/>
    <row r="57" s="2" customFormat="1" ht="20.100000000000001" customHeight="1"/>
    <row r="58" s="2" customFormat="1" ht="20.100000000000001" customHeight="1"/>
    <row r="59" s="2" customFormat="1" ht="20.100000000000001" customHeight="1"/>
    <row r="60" s="2" customFormat="1" ht="20.100000000000001" customHeight="1"/>
    <row r="61" s="2" customFormat="1" ht="20.100000000000001" customHeight="1"/>
    <row r="62" s="2" customFormat="1" ht="20.100000000000001" customHeight="1"/>
    <row r="63" s="2" customFormat="1" ht="20.100000000000001" customHeight="1"/>
    <row r="64"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row r="90" s="2" customFormat="1" ht="20.100000000000001" customHeight="1"/>
    <row r="91" s="2" customFormat="1" ht="20.100000000000001" customHeight="1"/>
    <row r="92" s="2" customFormat="1" ht="20.100000000000001" customHeight="1"/>
    <row r="93" s="2" customFormat="1" ht="20.100000000000001" customHeight="1"/>
    <row r="94" s="2" customFormat="1" ht="20.100000000000001" customHeight="1"/>
    <row r="95" s="2" customFormat="1" ht="20.100000000000001" customHeight="1"/>
    <row r="96" s="2" customFormat="1" ht="20.100000000000001" customHeight="1"/>
    <row r="97" s="2" customFormat="1" ht="20.100000000000001" customHeight="1"/>
    <row r="98" s="2" customFormat="1" ht="20.100000000000001" customHeight="1"/>
    <row r="99" s="2" customFormat="1" ht="20.100000000000001" customHeight="1"/>
    <row r="100" s="2" customFormat="1" ht="20.100000000000001" customHeight="1"/>
    <row r="101" s="2" customFormat="1" ht="20.100000000000001" customHeight="1"/>
    <row r="102" s="2" customFormat="1" ht="20.100000000000001" customHeight="1"/>
    <row r="103" s="2" customFormat="1" ht="20.100000000000001" customHeight="1"/>
    <row r="104" s="2" customFormat="1" ht="20.100000000000001" customHeight="1"/>
    <row r="105" s="2" customFormat="1" ht="20.100000000000001" customHeight="1"/>
    <row r="106" s="2" customFormat="1" ht="20.100000000000001" customHeight="1"/>
    <row r="107" s="2" customFormat="1" ht="20.100000000000001" customHeight="1"/>
    <row r="108" s="2" customFormat="1" ht="20.100000000000001" customHeight="1"/>
    <row r="109" s="2" customFormat="1" ht="20.100000000000001" customHeight="1"/>
    <row r="110" s="2" customFormat="1" ht="20.100000000000001" customHeight="1"/>
    <row r="111" s="2" customFormat="1" ht="20.100000000000001" customHeight="1"/>
    <row r="112" s="2" customFormat="1" ht="20.100000000000001" customHeight="1"/>
    <row r="113" s="2" customFormat="1" ht="20.100000000000001" customHeight="1"/>
    <row r="114" s="2" customFormat="1" ht="20.100000000000001" customHeight="1"/>
    <row r="115" s="2" customFormat="1" ht="20.100000000000001" customHeight="1"/>
    <row r="116" s="2" customFormat="1" ht="20.100000000000001" customHeight="1"/>
    <row r="117" s="2" customFormat="1" ht="20.100000000000001" customHeight="1"/>
    <row r="118" s="2" customFormat="1" ht="20.100000000000001" customHeight="1"/>
    <row r="119" s="2" customFormat="1" ht="20.100000000000001" customHeight="1"/>
    <row r="120" s="2" customFormat="1" ht="20.100000000000001" customHeight="1"/>
    <row r="121" s="2" customFormat="1" ht="20.100000000000001" customHeight="1"/>
    <row r="122" s="2" customFormat="1" ht="20.100000000000001" customHeight="1"/>
    <row r="123" s="2" customFormat="1" ht="20.100000000000001" customHeight="1"/>
    <row r="124" s="2" customFormat="1" ht="20.100000000000001" customHeight="1"/>
    <row r="125" s="2" customFormat="1" ht="20.100000000000001" customHeight="1"/>
    <row r="126" s="2" customFormat="1" ht="20.100000000000001" customHeight="1"/>
    <row r="127" s="2" customFormat="1" ht="20.100000000000001" customHeight="1"/>
    <row r="128" s="2" customFormat="1" ht="20.100000000000001" customHeight="1"/>
    <row r="129" s="2" customFormat="1" ht="20.100000000000001" customHeight="1"/>
    <row r="130" s="2" customFormat="1" ht="20.100000000000001" customHeight="1"/>
    <row r="131" s="2" customFormat="1" ht="20.100000000000001" customHeight="1"/>
    <row r="132" s="2" customFormat="1" ht="20.100000000000001" customHeight="1"/>
    <row r="133" s="2" customFormat="1" ht="20.100000000000001" customHeight="1"/>
    <row r="134" s="2" customFormat="1" ht="20.100000000000001" customHeight="1"/>
    <row r="135" s="2" customFormat="1" ht="20.100000000000001" customHeight="1"/>
    <row r="136" s="2" customFormat="1" ht="20.100000000000001" customHeight="1"/>
    <row r="137" s="2" customFormat="1" ht="20.100000000000001" customHeight="1"/>
    <row r="138" s="2" customFormat="1" ht="20.100000000000001" customHeight="1"/>
    <row r="139" s="2" customFormat="1" ht="20.100000000000001" customHeight="1"/>
    <row r="140" s="2" customFormat="1" ht="20.100000000000001" customHeight="1"/>
    <row r="141" s="2" customFormat="1" ht="20.100000000000001" customHeight="1"/>
    <row r="142" s="3" customFormat="1" ht="20.100000000000001" customHeight="1"/>
    <row r="143" s="3" customFormat="1" ht="20.100000000000001" customHeight="1"/>
    <row r="144" ht="20.100000000000001" customHeight="1"/>
    <row r="145" ht="20.100000000000001" customHeight="1"/>
    <row r="146" ht="20.100000000000001" customHeight="1"/>
    <row r="147" ht="20.100000000000001" customHeight="1"/>
  </sheetData>
  <sheetProtection sheet="1" selectLockedCells="1"/>
  <mergeCells count="49">
    <mergeCell ref="M11:N11"/>
    <mergeCell ref="J17:L17"/>
    <mergeCell ref="M17:N17"/>
    <mergeCell ref="AG4:AL4"/>
    <mergeCell ref="AI5:AJ5"/>
    <mergeCell ref="AK5:AL5"/>
    <mergeCell ref="K6:AC6"/>
    <mergeCell ref="AG5:AH5"/>
    <mergeCell ref="O11:W11"/>
    <mergeCell ref="J12:L12"/>
    <mergeCell ref="J11:L11"/>
    <mergeCell ref="R17:S17"/>
    <mergeCell ref="R18:S18"/>
    <mergeCell ref="B16:I16"/>
    <mergeCell ref="J16:N16"/>
    <mergeCell ref="O16:S16"/>
    <mergeCell ref="AF19:AF21"/>
    <mergeCell ref="AA16:AC16"/>
    <mergeCell ref="AA17:AC17"/>
    <mergeCell ref="AA18:AC18"/>
    <mergeCell ref="B17:I17"/>
    <mergeCell ref="AB12:AC12"/>
    <mergeCell ref="O12:W12"/>
    <mergeCell ref="X12:AA12"/>
    <mergeCell ref="B7:I7"/>
    <mergeCell ref="K7:W7"/>
    <mergeCell ref="AA7:AC7"/>
    <mergeCell ref="X7:Z7"/>
    <mergeCell ref="B11:I11"/>
    <mergeCell ref="M12:N12"/>
    <mergeCell ref="B12:I12"/>
    <mergeCell ref="B8:I8"/>
    <mergeCell ref="R8:S8"/>
    <mergeCell ref="T8:U8"/>
    <mergeCell ref="O8:P8"/>
    <mergeCell ref="M8:N8"/>
    <mergeCell ref="B2:AC2"/>
    <mergeCell ref="B3:AC3"/>
    <mergeCell ref="B6:I6"/>
    <mergeCell ref="X11:AA11"/>
    <mergeCell ref="O17:Q17"/>
    <mergeCell ref="O18:Q18"/>
    <mergeCell ref="G25:H25"/>
    <mergeCell ref="B18:I18"/>
    <mergeCell ref="J18:L18"/>
    <mergeCell ref="M18:N18"/>
    <mergeCell ref="T18:X18"/>
    <mergeCell ref="T17:X17"/>
    <mergeCell ref="T16:X16"/>
  </mergeCells>
  <phoneticPr fontId="2"/>
  <dataValidations count="1">
    <dataValidation type="list" allowBlank="1" showInputMessage="1" showErrorMessage="1" sqref="AA7:AC7">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1.8 [H28]</oddHeader>
    <oddFooter>&amp;Cⓒ　2013 hyoukakyoukai.All right reserved</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B1:AO106"/>
  <sheetViews>
    <sheetView showGridLines="0" view="pageBreakPreview" topLeftCell="A11" zoomScaleNormal="100" zoomScaleSheetLayoutView="100" workbookViewId="0">
      <selection activeCell="R35" sqref="R35:S35"/>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76</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43">
        <f ca="1">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344"/>
      <c r="X4" s="345">
        <f ca="1">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0.26100000000000001</v>
      </c>
      <c r="Y4" s="346"/>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v>104</v>
      </c>
      <c r="C8" s="349"/>
      <c r="D8" s="194">
        <v>1.65</v>
      </c>
      <c r="E8" s="195"/>
      <c r="F8" s="195">
        <v>0.9</v>
      </c>
      <c r="G8" s="221"/>
      <c r="H8" s="226">
        <v>1.7</v>
      </c>
      <c r="I8" s="226"/>
      <c r="J8" s="226">
        <v>0.32</v>
      </c>
      <c r="K8" s="226"/>
      <c r="L8" s="199" t="s">
        <v>65</v>
      </c>
      <c r="M8" s="199"/>
      <c r="N8" s="305"/>
      <c r="O8" s="306"/>
      <c r="P8" s="307"/>
      <c r="Q8" s="308"/>
      <c r="R8" s="347"/>
      <c r="S8" s="348"/>
      <c r="T8" s="317"/>
      <c r="U8" s="307"/>
      <c r="V8" s="207">
        <f>IF(D8="","",AD8)</f>
        <v>0.15070017600000002</v>
      </c>
      <c r="W8" s="207"/>
      <c r="X8" s="207">
        <f t="shared" ref="X8:X19" si="0">IF(D8="","",IF(ISERROR(AE8),"-",AE8))</f>
        <v>6.3253872000000003E-2</v>
      </c>
      <c r="Y8" s="207"/>
      <c r="Z8" s="207">
        <f>IF(D8="","",D8*F8*AN8)</f>
        <v>2.5244999999999997</v>
      </c>
      <c r="AA8" s="208"/>
      <c r="AD8" s="37">
        <f>D8*F8*J8*$V$4*AH8</f>
        <v>0.15070017600000002</v>
      </c>
      <c r="AE8" s="37">
        <f>D8*F8*J8*$X$4*AI8</f>
        <v>6.3253872000000003E-2</v>
      </c>
      <c r="AG8" s="40" t="b">
        <v>1</v>
      </c>
      <c r="AH8" s="37" t="str">
        <f>IF(AG8=TRUE,"0.93",IF(ISERROR(AK8),"エラー",IF(AK8&gt;0.93,"0.93",AK8)))</f>
        <v>0.93</v>
      </c>
      <c r="AI8" s="37" t="str">
        <f>IF(AG8=TRUE,"0.51",IF(ISERROR(AL8),"エラー",IF(AL8&gt;0.72,"0.72",AL8)))</f>
        <v>0.51</v>
      </c>
      <c r="AK8" s="37" t="e">
        <f>0.01*(16+24*(2*R8+T8)/P8)</f>
        <v>#DIV/0!</v>
      </c>
      <c r="AL8" s="37" t="e">
        <f>0.01*(10+15*(2*R8+T8)/P8)</f>
        <v>#DIV/0!</v>
      </c>
      <c r="AN8" s="37">
        <f ca="1">IF(共通条件・結果!$AA$7="８地域",H8,IF(AO8="FALSE",H8,IF(L8="風除室",1/((1/H8)+0.1),0.5*H8+0.5*(1/((1/H8)+AO8)))))</f>
        <v>1.7</v>
      </c>
      <c r="AO8" s="39" t="b">
        <f t="shared" ref="AO8:AO19" si="1">IF(L8="","FALSE",IF(L8="雨戸",0.1,IF(L8="ｼｬｯﾀｰ",0.1,IF(L8="障子",0.18,IF(L8="風除室",0.1)))))</f>
        <v>0</v>
      </c>
    </row>
    <row r="9" spans="2:41" s="37" customFormat="1" ht="21.95" customHeight="1">
      <c r="B9" s="218">
        <v>104</v>
      </c>
      <c r="C9" s="350"/>
      <c r="D9" s="318">
        <v>1.65</v>
      </c>
      <c r="E9" s="278"/>
      <c r="F9" s="278">
        <v>0.9</v>
      </c>
      <c r="G9" s="279"/>
      <c r="H9" s="254">
        <v>1.7</v>
      </c>
      <c r="I9" s="254"/>
      <c r="J9" s="254">
        <v>0.32</v>
      </c>
      <c r="K9" s="254"/>
      <c r="L9" s="227"/>
      <c r="M9" s="227"/>
      <c r="N9" s="300"/>
      <c r="O9" s="301"/>
      <c r="P9" s="297"/>
      <c r="Q9" s="298"/>
      <c r="R9" s="302"/>
      <c r="S9" s="303"/>
      <c r="T9" s="296"/>
      <c r="U9" s="297"/>
      <c r="V9" s="174">
        <f t="shared" ref="V9:V19" si="2">IF(D9="","",AD9)</f>
        <v>0.15070017600000002</v>
      </c>
      <c r="W9" s="174"/>
      <c r="X9" s="174">
        <f t="shared" si="0"/>
        <v>6.3253872000000003E-2</v>
      </c>
      <c r="Y9" s="174"/>
      <c r="Z9" s="174">
        <f t="shared" ref="Z9:Z19" si="3">IF(D9="","",D9*F9*AN9)</f>
        <v>2.5244999999999997</v>
      </c>
      <c r="AA9" s="175"/>
      <c r="AD9" s="37">
        <f t="shared" ref="AD9:AD19" si="4">D9*F9*J9*$V$4*AH9</f>
        <v>0.15070017600000002</v>
      </c>
      <c r="AE9" s="37">
        <f t="shared" ref="AE9:AE19" si="5">D9*F9*J9*$X$4*AI9</f>
        <v>6.3253872000000003E-2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 ca="1">IF(共通条件・結果!$AA$7="８地域",H9,IF(AO9="FALSE",H9,IF(L9="風除室",1/((1/H9)+0.1),0.5*H9+0.5*(1/((1/H9)+AO9)))))</f>
        <v>1.7</v>
      </c>
      <c r="AO9" s="39" t="str">
        <f t="shared" si="1"/>
        <v>FALSE</v>
      </c>
    </row>
    <row r="10" spans="2:41" s="37" customFormat="1" ht="21.95" customHeight="1">
      <c r="B10" s="218">
        <v>107</v>
      </c>
      <c r="C10" s="350"/>
      <c r="D10" s="318">
        <v>0.74</v>
      </c>
      <c r="E10" s="278"/>
      <c r="F10" s="278">
        <v>0.9</v>
      </c>
      <c r="G10" s="279"/>
      <c r="H10" s="254">
        <v>1.7</v>
      </c>
      <c r="I10" s="254"/>
      <c r="J10" s="254">
        <v>0.32</v>
      </c>
      <c r="K10" s="254"/>
      <c r="L10" s="227"/>
      <c r="M10" s="227"/>
      <c r="N10" s="300"/>
      <c r="O10" s="301"/>
      <c r="P10" s="298"/>
      <c r="Q10" s="299"/>
      <c r="R10" s="295"/>
      <c r="S10" s="299"/>
      <c r="T10" s="295"/>
      <c r="U10" s="296"/>
      <c r="V10" s="174">
        <f>IF(D10="","",AD10)</f>
        <v>6.7586745600000012E-2</v>
      </c>
      <c r="W10" s="174"/>
      <c r="X10" s="174">
        <f t="shared" si="0"/>
        <v>2.8368403200000003E-2</v>
      </c>
      <c r="Y10" s="174"/>
      <c r="Z10" s="174">
        <f>IF(D10="","",D10*F10*AN10)</f>
        <v>1.1322000000000001</v>
      </c>
      <c r="AA10" s="175"/>
      <c r="AD10" s="37">
        <f t="shared" ref="AD10:AD15" si="10">D10*F10*J10*$V$4*AH10</f>
        <v>6.7586745600000012E-2</v>
      </c>
      <c r="AE10" s="37">
        <f t="shared" ref="AE10:AE15" si="11">D10*F10*J10*$X$4*AI10</f>
        <v>2.8368403200000003E-2</v>
      </c>
      <c r="AG10" s="40" t="b">
        <v>1</v>
      </c>
      <c r="AH10" s="37" t="str">
        <f t="shared" si="6"/>
        <v>0.93</v>
      </c>
      <c r="AI10" s="37" t="str">
        <f t="shared" si="7"/>
        <v>0.51</v>
      </c>
      <c r="AK10" s="37" t="e">
        <f t="shared" ref="AK10:AK15" si="12">0.01*(16+24*(2*R10+T10)/P10)</f>
        <v>#DIV/0!</v>
      </c>
      <c r="AL10" s="37" t="e">
        <f t="shared" ref="AL10:AL15" si="13">0.01*(10+15*(2*R10+T10)/P10)</f>
        <v>#DIV/0!</v>
      </c>
      <c r="AN10" s="37">
        <f ca="1">IF(共通条件・結果!$AA$7="８地域",H10,IF(AO10="FALSE",H10,IF(L10="風除室",1/((1/H10)+0.1),0.5*H10+0.5*(1/((1/H10)+AO10)))))</f>
        <v>1.7</v>
      </c>
      <c r="AO10" s="39" t="str">
        <f t="shared" ref="AO10:AO15" si="14">IF(L10="","FALSE",IF(L10="雨戸",0.1,IF(L10="ｼｬｯﾀｰ",0.1,IF(L10="障子",0.18,IF(L10="風除室",0.1)))))</f>
        <v>FALSE</v>
      </c>
    </row>
    <row r="11" spans="2:41" s="37" customFormat="1" ht="21.95" customHeight="1">
      <c r="B11" s="218">
        <v>109</v>
      </c>
      <c r="C11" s="350"/>
      <c r="D11" s="318">
        <v>0.36499999999999999</v>
      </c>
      <c r="E11" s="278"/>
      <c r="F11" s="278">
        <v>0.9</v>
      </c>
      <c r="G11" s="279"/>
      <c r="H11" s="254">
        <v>1.52</v>
      </c>
      <c r="I11" s="254"/>
      <c r="J11" s="254">
        <v>0.32</v>
      </c>
      <c r="K11" s="254"/>
      <c r="L11" s="227"/>
      <c r="M11" s="227"/>
      <c r="N11" s="300"/>
      <c r="O11" s="301"/>
      <c r="P11" s="298"/>
      <c r="Q11" s="299"/>
      <c r="R11" s="295"/>
      <c r="S11" s="299"/>
      <c r="T11" s="295"/>
      <c r="U11" s="296"/>
      <c r="V11" s="174">
        <f>IF(D11="","",AD11)</f>
        <v>3.3336705600000002E-2</v>
      </c>
      <c r="W11" s="174"/>
      <c r="X11" s="174">
        <f t="shared" si="0"/>
        <v>1.3992523200000002E-2</v>
      </c>
      <c r="Y11" s="174"/>
      <c r="Z11" s="174">
        <f>IF(D11="","",D11*F11*AN11)</f>
        <v>0.49932000000000004</v>
      </c>
      <c r="AA11" s="175"/>
      <c r="AD11" s="37">
        <f t="shared" si="10"/>
        <v>3.3336705600000002E-2</v>
      </c>
      <c r="AE11" s="37">
        <f t="shared" si="11"/>
        <v>1.3992523200000002E-2</v>
      </c>
      <c r="AG11" s="40" t="b">
        <v>1</v>
      </c>
      <c r="AH11" s="37" t="str">
        <f t="shared" si="6"/>
        <v>0.93</v>
      </c>
      <c r="AI11" s="37" t="str">
        <f t="shared" si="7"/>
        <v>0.51</v>
      </c>
      <c r="AK11" s="37" t="e">
        <f t="shared" si="12"/>
        <v>#DIV/0!</v>
      </c>
      <c r="AL11" s="37" t="e">
        <f t="shared" si="13"/>
        <v>#DIV/0!</v>
      </c>
      <c r="AN11" s="37">
        <f ca="1">IF(共通条件・結果!$AA$7="８地域",H11,IF(AO11="FALSE",H11,IF(L11="風除室",1/((1/H11)+0.1),0.5*H11+0.5*(1/((1/H11)+AO11)))))</f>
        <v>1.52</v>
      </c>
      <c r="AO11" s="39" t="str">
        <f t="shared" si="14"/>
        <v>FALSE</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 t="shared" si="10"/>
        <v>#VALUE!</v>
      </c>
      <c r="AE12" s="37" t="e">
        <f t="shared" si="11"/>
        <v>#VALUE!</v>
      </c>
      <c r="AG12" s="40" t="b">
        <v>0</v>
      </c>
      <c r="AH12" s="37" t="str">
        <f>IF(AG12=TRUE,"0.93",IF(ISERROR(AK12),"エラー",IF(AK12&gt;0.93,"0.93",AK12)))</f>
        <v>エラー</v>
      </c>
      <c r="AI12" s="37" t="str">
        <f>IF(AG12=TRUE,"0.51",IF(ISERROR(AL12),"エラー",IF(AL12&gt;0.72,"0.72",AL12)))</f>
        <v>エラー</v>
      </c>
      <c r="AK12" s="37" t="e">
        <f t="shared" si="12"/>
        <v>#DIV/0!</v>
      </c>
      <c r="AL12" s="37" t="e">
        <f t="shared" si="13"/>
        <v>#DIV/0!</v>
      </c>
      <c r="AN12" s="37">
        <f ca="1">IF(共通条件・結果!$AA$7="８地域",H12,IF(AO12="FALSE",H12,IF(L12="風除室",1/((1/H12)+0.1),0.5*H12+0.5*(1/((1/H12)+AO12)))))</f>
        <v>0</v>
      </c>
      <c r="AO12" s="39" t="str">
        <f t="shared" si="14"/>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 t="shared" si="10"/>
        <v>#VALUE!</v>
      </c>
      <c r="AE13" s="37" t="e">
        <f t="shared" si="11"/>
        <v>#VALUE!</v>
      </c>
      <c r="AG13" s="40" t="b">
        <v>0</v>
      </c>
      <c r="AH13" s="37" t="str">
        <f>IF(AG13=TRUE,"0.93",IF(ISERROR(AK13),"エラー",IF(AK13&gt;0.93,"0.93",AK13)))</f>
        <v>エラー</v>
      </c>
      <c r="AI13" s="37" t="str">
        <f>IF(AG13=TRUE,"0.51",IF(ISERROR(AL13),"エラー",IF(AL13&gt;0.72,"0.72",AL13)))</f>
        <v>エラー</v>
      </c>
      <c r="AK13" s="37" t="e">
        <f t="shared" si="12"/>
        <v>#DIV/0!</v>
      </c>
      <c r="AL13" s="37" t="e">
        <f t="shared" si="13"/>
        <v>#DIV/0!</v>
      </c>
      <c r="AN13" s="37">
        <f ca="1">IF(共通条件・結果!$AA$7="８地域",H13,IF(AO13="FALSE",H13,IF(L13="風除室",1/((1/H13)+0.1),0.5*H13+0.5*(1/((1/H13)+AO13)))))</f>
        <v>0</v>
      </c>
      <c r="AO13" s="39" t="str">
        <f t="shared" si="14"/>
        <v>FALSE</v>
      </c>
    </row>
    <row r="14" spans="2:41" s="37" customFormat="1" ht="21.95" customHeight="1">
      <c r="B14" s="218"/>
      <c r="C14" s="350"/>
      <c r="D14" s="318"/>
      <c r="E14" s="278"/>
      <c r="F14" s="278"/>
      <c r="G14" s="279"/>
      <c r="H14" s="254"/>
      <c r="I14" s="254"/>
      <c r="J14" s="254"/>
      <c r="K14" s="254"/>
      <c r="L14" s="227"/>
      <c r="M14" s="227"/>
      <c r="N14" s="300"/>
      <c r="O14" s="301"/>
      <c r="P14" s="298"/>
      <c r="Q14" s="299"/>
      <c r="R14" s="295"/>
      <c r="S14" s="299"/>
      <c r="T14" s="295"/>
      <c r="U14" s="296"/>
      <c r="V14" s="174" t="str">
        <f>IF(D14="","",AD14)</f>
        <v/>
      </c>
      <c r="W14" s="174"/>
      <c r="X14" s="174" t="str">
        <f t="shared" si="0"/>
        <v/>
      </c>
      <c r="Y14" s="174"/>
      <c r="Z14" s="174" t="str">
        <f>IF(D14="","",D14*F14*AN14)</f>
        <v/>
      </c>
      <c r="AA14" s="175"/>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 ca="1">IF(共通条件・結果!$AA$7="８地域",H14,IF(AO14="FALSE",H14,IF(L14="風除室",1/((1/H14)+0.1),0.5*H14+0.5*(1/((1/H14)+AO14)))))</f>
        <v>0</v>
      </c>
      <c r="AO14" s="39" t="str">
        <f t="shared" si="14"/>
        <v>FALSE</v>
      </c>
    </row>
    <row r="15" spans="2:41" s="37" customFormat="1" ht="21.95" customHeight="1">
      <c r="B15" s="218"/>
      <c r="C15" s="350"/>
      <c r="D15" s="318"/>
      <c r="E15" s="278"/>
      <c r="F15" s="278"/>
      <c r="G15" s="279"/>
      <c r="H15" s="254"/>
      <c r="I15" s="254"/>
      <c r="J15" s="254"/>
      <c r="K15" s="254"/>
      <c r="L15" s="227"/>
      <c r="M15" s="227"/>
      <c r="N15" s="300"/>
      <c r="O15" s="301"/>
      <c r="P15" s="298"/>
      <c r="Q15" s="299"/>
      <c r="R15" s="295"/>
      <c r="S15" s="299"/>
      <c r="T15" s="295"/>
      <c r="U15" s="296"/>
      <c r="V15" s="176" t="str">
        <f t="shared" si="2"/>
        <v/>
      </c>
      <c r="W15" s="177"/>
      <c r="X15" s="174" t="str">
        <f t="shared" si="0"/>
        <v/>
      </c>
      <c r="Y15" s="174"/>
      <c r="Z15" s="174" t="str">
        <f t="shared" si="3"/>
        <v/>
      </c>
      <c r="AA15" s="175"/>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 ca="1">IF(共通条件・結果!$AA$7="８地域",H15,IF(AO15="FALSE",H15,IF(L15="風除室",1/((1/H15)+0.1),0.5*H15+0.5*(1/((1/H15)+AO15)))))</f>
        <v>0</v>
      </c>
      <c r="AO15" s="39" t="str">
        <f t="shared" si="14"/>
        <v>FALSE</v>
      </c>
    </row>
    <row r="16" spans="2:41" s="37" customFormat="1" ht="21.95" customHeight="1">
      <c r="B16" s="218"/>
      <c r="C16" s="350"/>
      <c r="D16" s="318"/>
      <c r="E16" s="278"/>
      <c r="F16" s="278"/>
      <c r="G16" s="279"/>
      <c r="H16" s="254"/>
      <c r="I16" s="254"/>
      <c r="J16" s="254"/>
      <c r="K16" s="254"/>
      <c r="L16" s="227"/>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t="shared" si="8"/>
        <v>#DIV/0!</v>
      </c>
      <c r="AL16" s="37" t="e">
        <f t="shared" si="9"/>
        <v>#DIV/0!</v>
      </c>
      <c r="AN16" s="37">
        <f ca="1">IF(共通条件・結果!$AA$7="８地域",H16,IF(AO16="FALSE",H16,IF(L16="風除室",1/((1/H16)+0.1),0.5*H16+0.5*(1/((1/H16)+AO16)))))</f>
        <v>0</v>
      </c>
      <c r="AO16" s="39" t="str">
        <f t="shared" si="1"/>
        <v>FALSE</v>
      </c>
    </row>
    <row r="17" spans="2:41" s="37" customFormat="1" ht="21.95" customHeight="1">
      <c r="B17" s="218"/>
      <c r="C17" s="350"/>
      <c r="D17" s="318"/>
      <c r="E17" s="278"/>
      <c r="F17" s="278"/>
      <c r="G17" s="279"/>
      <c r="H17" s="254"/>
      <c r="I17" s="254"/>
      <c r="J17" s="254"/>
      <c r="K17" s="254"/>
      <c r="L17" s="227"/>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t="shared" si="8"/>
        <v>#DIV/0!</v>
      </c>
      <c r="AL17" s="37" t="e">
        <f t="shared" si="9"/>
        <v>#DIV/0!</v>
      </c>
      <c r="AN17" s="37">
        <f ca="1">IF(共通条件・結果!$AA$7="８地域",H17,IF(AO17="FALSE",H17,IF(L17="風除室",1/((1/H17)+0.1),0.5*H17+0.5*(1/((1/H17)+AO17)))))</f>
        <v>0</v>
      </c>
      <c r="AO17" s="39" t="str">
        <f t="shared" si="1"/>
        <v>FALSE</v>
      </c>
    </row>
    <row r="18" spans="2:41" s="37" customFormat="1" ht="21.95" customHeight="1">
      <c r="B18" s="218"/>
      <c r="C18" s="350"/>
      <c r="D18" s="318"/>
      <c r="E18" s="278"/>
      <c r="F18" s="278"/>
      <c r="G18" s="279"/>
      <c r="H18" s="254"/>
      <c r="I18" s="254"/>
      <c r="J18" s="254"/>
      <c r="K18" s="254"/>
      <c r="L18" s="227"/>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t="shared" si="8"/>
        <v>#DIV/0!</v>
      </c>
      <c r="AL18" s="37" t="e">
        <f t="shared" si="9"/>
        <v>#DIV/0!</v>
      </c>
      <c r="AN18" s="37">
        <f ca="1">IF(共通条件・結果!$AA$7="８地域",H18,IF(AO18="FALSE",H18,IF(L18="風除室",1/((1/H18)+0.1),0.5*H18+0.5*(1/((1/H18)+AO18)))))</f>
        <v>0</v>
      </c>
      <c r="AO18" s="39" t="str">
        <f t="shared" si="1"/>
        <v>FALSE</v>
      </c>
    </row>
    <row r="19" spans="2:41" s="37" customFormat="1" ht="21.95" customHeight="1" thickBot="1">
      <c r="B19" s="209"/>
      <c r="C19" s="309"/>
      <c r="D19" s="248"/>
      <c r="E19" s="201"/>
      <c r="F19" s="201"/>
      <c r="G19" s="202"/>
      <c r="H19" s="200"/>
      <c r="I19" s="200"/>
      <c r="J19" s="200"/>
      <c r="K19" s="200"/>
      <c r="L19" s="199"/>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t="shared" si="8"/>
        <v>#DIV/0!</v>
      </c>
      <c r="AL19" s="37" t="e">
        <f t="shared" si="9"/>
        <v>#DIV/0!</v>
      </c>
      <c r="AN19" s="37">
        <f ca="1">IF(共通条件・結果!$AA$7="８地域",H19,IF(AO19="FALSE",H19,IF(L19="風除室",1/((1/H19)+0.1),0.5*H19+0.5*(1/((1/H19)+AO19)))))</f>
        <v>0</v>
      </c>
      <c r="AO19" s="39" t="str">
        <f t="shared" si="1"/>
        <v>FALSE</v>
      </c>
    </row>
    <row r="20" spans="2:41" s="37" customFormat="1" ht="21.95" customHeight="1" thickBot="1">
      <c r="B20" s="197" t="s">
        <v>77</v>
      </c>
      <c r="C20" s="198"/>
      <c r="D20" s="198"/>
      <c r="E20" s="198"/>
      <c r="F20" s="198"/>
      <c r="G20" s="198"/>
      <c r="H20" s="198"/>
      <c r="I20" s="198"/>
      <c r="J20" s="198"/>
      <c r="K20" s="198"/>
      <c r="L20" s="198"/>
      <c r="M20" s="198"/>
      <c r="N20" s="198"/>
      <c r="O20" s="198"/>
      <c r="P20" s="198"/>
      <c r="Q20" s="198"/>
      <c r="R20" s="198"/>
      <c r="S20" s="198"/>
      <c r="T20" s="198"/>
      <c r="U20" s="198"/>
      <c r="V20" s="184">
        <f>SUM(V8:W19)</f>
        <v>0.40232380320000005</v>
      </c>
      <c r="W20" s="184"/>
      <c r="X20" s="184">
        <f>SUM(X8:Y19)</f>
        <v>0.1688686704</v>
      </c>
      <c r="Y20" s="184"/>
      <c r="Z20" s="184">
        <f>SUM(Z8:AA19)</f>
        <v>6.6805199999999996</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37"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c r="U27" s="227"/>
      <c r="V27" s="190" t="str">
        <f>IF(N27="","",N27*P27*R27*0.034*$V$4)</f>
        <v/>
      </c>
      <c r="W27" s="190"/>
      <c r="X27" s="190" t="str">
        <f>IF(N27="","",IF(ISERROR(N27*P27*R27*0.034*$X$4),"-",N27*P27*R27*0.034*$X$4))</f>
        <v/>
      </c>
      <c r="Y27" s="190"/>
      <c r="Z27" s="190" t="str">
        <f>IF(N27="","",N27*P27*AN27)</f>
        <v/>
      </c>
      <c r="AA27" s="191"/>
      <c r="AN27" s="37">
        <f ca="1">IF(共通条件・結果!$AA$7="８地域",R27,IF(AO27="FALSE",R27,IF(T27="風除室",1/((1/R27)+0.1),0.5*R27+0.5*(1/((1/R27)+AO27)))))</f>
        <v>0</v>
      </c>
      <c r="AO27" s="39" t="str">
        <f>IF(T27="","FALSE",IF(T27="雨戸",0.1,IF(T27="ｼｬｯﾀｰ",0.1,IF(T27="障子",0.18,IF(T27="風除室",0.1)))))</f>
        <v>FALSE</v>
      </c>
    </row>
    <row r="28" spans="2:41" s="37" customFormat="1" ht="21.95" customHeight="1" thickBot="1">
      <c r="C28" s="41"/>
      <c r="D28" s="41"/>
      <c r="E28" s="41"/>
      <c r="F28" s="41"/>
      <c r="G28" s="41"/>
      <c r="H28" s="41"/>
      <c r="I28" s="41"/>
      <c r="J28" s="197" t="s">
        <v>142</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t="s">
        <v>1</v>
      </c>
      <c r="K33" s="233"/>
      <c r="L33" s="246">
        <v>42.260399999999997</v>
      </c>
      <c r="M33" s="247"/>
      <c r="N33" s="246"/>
      <c r="O33" s="247"/>
      <c r="P33" s="244">
        <f>IF(L33="","",L33-N33)</f>
        <v>42.260399999999997</v>
      </c>
      <c r="Q33" s="245"/>
      <c r="R33" s="226">
        <v>0.47799999999999998</v>
      </c>
      <c r="S33" s="226"/>
      <c r="T33" s="230"/>
      <c r="U33" s="230"/>
      <c r="V33" s="172">
        <f>IF(P33="","",IF(AD33=TRUE,0,P33*R33*0.034*$V$4))</f>
        <v>0.23420426309280004</v>
      </c>
      <c r="W33" s="172"/>
      <c r="X33" s="181">
        <f>IF(P33="","",IF(ISERROR(P33*R33*0.034*$X$4),"-",IF(AD33=TRUE,0,P33*R33*0.034*$X$4)))</f>
        <v>0.17925898142880001</v>
      </c>
      <c r="Y33" s="182"/>
      <c r="Z33" s="172">
        <f>IF(R33="","",IF(AD33=TRUE,0.7*R33*P33,R33*P33))</f>
        <v>20.200471199999999</v>
      </c>
      <c r="AA33" s="173"/>
      <c r="AD33" s="40" t="b">
        <v>0</v>
      </c>
      <c r="AE33" s="93">
        <f>IF(AD33=TRUE,0.7,1)</f>
        <v>1</v>
      </c>
      <c r="AF33" s="40" t="str">
        <f>IF(AD33=TRUE,0,"セル")</f>
        <v>セル</v>
      </c>
    </row>
    <row r="34" spans="2:32" s="37" customFormat="1" ht="21.95" customHeight="1">
      <c r="C34" s="41"/>
      <c r="D34" s="41"/>
      <c r="E34" s="41"/>
      <c r="F34" s="41"/>
      <c r="G34" s="41"/>
      <c r="H34" s="41"/>
      <c r="I34" s="41"/>
      <c r="J34" s="218" t="s">
        <v>241</v>
      </c>
      <c r="K34" s="220"/>
      <c r="L34" s="192">
        <v>3.149</v>
      </c>
      <c r="M34" s="193"/>
      <c r="N34" s="192"/>
      <c r="O34" s="193"/>
      <c r="P34" s="242">
        <f>IF(L34="","",L34-N34)</f>
        <v>3.149</v>
      </c>
      <c r="Q34" s="243"/>
      <c r="R34" s="192">
        <v>0.47799999999999998</v>
      </c>
      <c r="S34" s="193"/>
      <c r="T34" s="228"/>
      <c r="U34" s="229"/>
      <c r="V34" s="176">
        <f>IF(P34="","",IF(AD34=TRUE,0,P34*R34*0.034*$V$4))</f>
        <v>1.7451543868000002E-2</v>
      </c>
      <c r="W34" s="177"/>
      <c r="X34" s="176">
        <f>IF(P34="","",IF(ISERROR(P34*R34*0.034*$X$4),"-",IF(AD34=TRUE,0,P34*R34*0.034*$X$4)))</f>
        <v>1.3357340027999999E-2</v>
      </c>
      <c r="Y34" s="177"/>
      <c r="Z34" s="176">
        <f>IF(R34="","",IF(AD34=TRUE,0.7*R34*P34,R34*P34))</f>
        <v>1.5052219999999998</v>
      </c>
      <c r="AA34" s="178"/>
      <c r="AD34" s="40" t="b">
        <v>0</v>
      </c>
      <c r="AE34" s="93">
        <f>IF(AD34=TRUE,0.7,1)</f>
        <v>1</v>
      </c>
      <c r="AF34" s="40" t="str">
        <f>IF(AD34=TRUE,0,"セル")</f>
        <v>セル</v>
      </c>
    </row>
    <row r="35" spans="2:32" s="37" customFormat="1" ht="21.95" customHeight="1">
      <c r="C35" s="41"/>
      <c r="D35" s="41"/>
      <c r="E35" s="41"/>
      <c r="F35" s="41"/>
      <c r="G35" s="41"/>
      <c r="H35" s="41"/>
      <c r="I35" s="41"/>
      <c r="J35" s="218" t="s">
        <v>242</v>
      </c>
      <c r="K35" s="220"/>
      <c r="L35" s="192">
        <v>0.33</v>
      </c>
      <c r="M35" s="193"/>
      <c r="N35" s="192"/>
      <c r="O35" s="193"/>
      <c r="P35" s="242">
        <f>IF(L35="","",L35-N35)</f>
        <v>0.33</v>
      </c>
      <c r="Q35" s="243"/>
      <c r="R35" s="192">
        <v>0.47799999999999998</v>
      </c>
      <c r="S35" s="193"/>
      <c r="T35" s="228"/>
      <c r="U35" s="229"/>
      <c r="V35" s="176">
        <f>IF(P35="","",IF(AD35=TRUE,0,P35*R35*0.034*$V$4))</f>
        <v>1.8288375600000004E-3</v>
      </c>
      <c r="W35" s="177"/>
      <c r="X35" s="176">
        <f>IF(P35="","",IF(ISERROR(P35*R35*0.034*$X$4),"-",IF(AD35=TRUE,0,P35*R35*0.034*$X$4)))</f>
        <v>1.3997847600000003E-3</v>
      </c>
      <c r="Y35" s="177"/>
      <c r="Z35" s="179">
        <f>IF(R35="","",IF(AD35=TRUE,0.7*R35*P35,R35*P35))</f>
        <v>0.15773999999999999</v>
      </c>
      <c r="AA35" s="180"/>
      <c r="AD35" s="40" t="b">
        <v>0</v>
      </c>
      <c r="AE35" s="93">
        <f>IF(AD35=TRUE,0.7,1)</f>
        <v>1</v>
      </c>
      <c r="AF35" s="40" t="str">
        <f>IF(AD35=TRUE,0,"セル")</f>
        <v>セル</v>
      </c>
    </row>
    <row r="36" spans="2:32" s="37" customFormat="1" ht="21.95" customHeight="1">
      <c r="C36" s="41"/>
      <c r="D36" s="41"/>
      <c r="E36" s="41"/>
      <c r="F36" s="41"/>
      <c r="G36" s="41"/>
      <c r="H36" s="41"/>
      <c r="I36" s="41"/>
      <c r="J36" s="218" t="s">
        <v>240</v>
      </c>
      <c r="K36" s="220"/>
      <c r="L36" s="192">
        <v>3.2759999999999998</v>
      </c>
      <c r="M36" s="193"/>
      <c r="N36" s="192"/>
      <c r="O36" s="193"/>
      <c r="P36" s="242">
        <f>IF(L36="","",L36-N36)</f>
        <v>3.2759999999999998</v>
      </c>
      <c r="Q36" s="243"/>
      <c r="R36" s="254">
        <v>0.46</v>
      </c>
      <c r="S36" s="254"/>
      <c r="T36" s="253"/>
      <c r="U36" s="253"/>
      <c r="V36" s="174">
        <f>IF(P36="","",IF(AD36=TRUE,0,P36*R36*0.034*$V$4))</f>
        <v>1.7471694240000002E-2</v>
      </c>
      <c r="W36" s="174"/>
      <c r="X36" s="176">
        <f>IF(P36="","",IF(ISERROR(P36*R36*0.034*$X$4),"-",IF(AD36=TRUE,0,P36*R36*0.034*$X$4)))</f>
        <v>1.3372763040000003E-2</v>
      </c>
      <c r="Y36" s="177"/>
      <c r="Z36" s="174">
        <f>IF(R36="","",IF(AD36=TRUE,0.7*R36*P36,R36*P36))</f>
        <v>1.5069600000000001</v>
      </c>
      <c r="AA36" s="175"/>
      <c r="AD36" s="40" t="b">
        <v>0</v>
      </c>
      <c r="AE36" s="93">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93">
        <f>IF(AD37=TRUE,0.7,1)</f>
        <v>1</v>
      </c>
      <c r="AF37" s="40" t="str">
        <f>IF(AD37=TRUE,0,"セル")</f>
        <v>セル</v>
      </c>
    </row>
    <row r="38" spans="2:32" s="37" customFormat="1" ht="21.95" customHeight="1" thickBot="1">
      <c r="J38" s="197" t="s">
        <v>78</v>
      </c>
      <c r="K38" s="198"/>
      <c r="L38" s="198"/>
      <c r="M38" s="198"/>
      <c r="N38" s="198"/>
      <c r="O38" s="198"/>
      <c r="P38" s="198"/>
      <c r="Q38" s="198"/>
      <c r="R38" s="198"/>
      <c r="S38" s="198"/>
      <c r="T38" s="198"/>
      <c r="U38" s="231"/>
      <c r="V38" s="184">
        <f>SUM(V33:W37)</f>
        <v>0.27095633876080005</v>
      </c>
      <c r="W38" s="184"/>
      <c r="X38" s="184">
        <f>SUM(X33:Y37)</f>
        <v>0.2073888692568</v>
      </c>
      <c r="Y38" s="184"/>
      <c r="Z38" s="184">
        <f>SUM(Z33:AA37)</f>
        <v>23.370393199999999</v>
      </c>
      <c r="AA38" s="189"/>
    </row>
    <row r="39" spans="2:32" s="37" customFormat="1" ht="9.9499999999999993" customHeight="1"/>
    <row r="40" spans="2:32" s="37" customFormat="1" ht="21.95" customHeight="1" thickBot="1">
      <c r="B40" s="38" t="s">
        <v>116</v>
      </c>
    </row>
    <row r="41" spans="2:32" s="37" customFormat="1" ht="21.95" customHeight="1">
      <c r="B41" s="280" t="s">
        <v>79</v>
      </c>
      <c r="C41" s="281"/>
      <c r="D41" s="273" t="s">
        <v>56</v>
      </c>
      <c r="E41" s="274"/>
      <c r="F41" s="274"/>
      <c r="G41" s="274"/>
      <c r="H41" s="274"/>
      <c r="I41" s="274"/>
      <c r="J41" s="275"/>
      <c r="K41" s="42"/>
      <c r="L41" s="276">
        <f>Q41+U41+Y41</f>
        <v>52.979900000000001</v>
      </c>
      <c r="M41" s="276"/>
      <c r="N41" s="276"/>
      <c r="O41" s="42" t="s">
        <v>24</v>
      </c>
      <c r="P41" s="43" t="s">
        <v>23</v>
      </c>
      <c r="Q41" s="288">
        <f>D8*F8+D9*F9+D10*F10+D11*F11+D12*F12+D13*F13+D14*F14+D15*F15+D16*F16+D17*F17+D18*F18+D19*F19</f>
        <v>3.9644999999999997</v>
      </c>
      <c r="R41" s="288"/>
      <c r="S41" s="44" t="s">
        <v>25</v>
      </c>
      <c r="T41" s="44" t="s">
        <v>22</v>
      </c>
      <c r="U41" s="289">
        <f>N25*P25+N26*P26+N27*P27</f>
        <v>0</v>
      </c>
      <c r="V41" s="289"/>
      <c r="W41" s="44" t="s">
        <v>25</v>
      </c>
      <c r="X41" s="44" t="s">
        <v>1</v>
      </c>
      <c r="Y41" s="268">
        <f>SUM(P33:Q37)</f>
        <v>49.0154</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0.6732801419608001</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0.37625753965679998</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30.050913199999997</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D12:E12"/>
    <mergeCell ref="B13:C13"/>
    <mergeCell ref="B15:C15"/>
    <mergeCell ref="B17:C17"/>
    <mergeCell ref="D17:E17"/>
    <mergeCell ref="D15:E15"/>
    <mergeCell ref="B14:C14"/>
    <mergeCell ref="D14:E14"/>
    <mergeCell ref="F17:G17"/>
    <mergeCell ref="B16:C16"/>
    <mergeCell ref="D16:E16"/>
    <mergeCell ref="L18:M18"/>
    <mergeCell ref="D18:E18"/>
    <mergeCell ref="H17:I17"/>
    <mergeCell ref="J18:K18"/>
    <mergeCell ref="B18:C18"/>
    <mergeCell ref="J17:K17"/>
    <mergeCell ref="H18:I18"/>
    <mergeCell ref="N9:O9"/>
    <mergeCell ref="N10:O10"/>
    <mergeCell ref="N11:O11"/>
    <mergeCell ref="L10:M10"/>
    <mergeCell ref="J15:K15"/>
    <mergeCell ref="F16:G16"/>
    <mergeCell ref="J16:K16"/>
    <mergeCell ref="H16:I16"/>
    <mergeCell ref="H15:I15"/>
    <mergeCell ref="F15:G15"/>
    <mergeCell ref="P12:Q12"/>
    <mergeCell ref="P11:Q11"/>
    <mergeCell ref="J11:K11"/>
    <mergeCell ref="J12:K12"/>
    <mergeCell ref="J10:K10"/>
    <mergeCell ref="L12:M12"/>
    <mergeCell ref="D9:E9"/>
    <mergeCell ref="F11:G11"/>
    <mergeCell ref="B8:C8"/>
    <mergeCell ref="F8:G8"/>
    <mergeCell ref="B9:C9"/>
    <mergeCell ref="B11:C11"/>
    <mergeCell ref="B10:C10"/>
    <mergeCell ref="D11:E11"/>
    <mergeCell ref="D8:E8"/>
    <mergeCell ref="F9:G9"/>
    <mergeCell ref="T9:U9"/>
    <mergeCell ref="R9:S9"/>
    <mergeCell ref="H9:I9"/>
    <mergeCell ref="L8:M8"/>
    <mergeCell ref="H10:I10"/>
    <mergeCell ref="J8:K8"/>
    <mergeCell ref="P9:Q9"/>
    <mergeCell ref="H8:I8"/>
    <mergeCell ref="L9:M9"/>
    <mergeCell ref="J9:K9"/>
    <mergeCell ref="B2:AA2"/>
    <mergeCell ref="R4:U4"/>
    <mergeCell ref="V4:W4"/>
    <mergeCell ref="X4:Y4"/>
    <mergeCell ref="R8:S8"/>
    <mergeCell ref="T7:U7"/>
    <mergeCell ref="H5:I7"/>
    <mergeCell ref="J5:K7"/>
    <mergeCell ref="L5:M7"/>
    <mergeCell ref="B5:C7"/>
    <mergeCell ref="D6:E7"/>
    <mergeCell ref="F6:G7"/>
    <mergeCell ref="D5:G5"/>
    <mergeCell ref="V5:W7"/>
    <mergeCell ref="N5:U5"/>
    <mergeCell ref="R7:S7"/>
    <mergeCell ref="P7:Q7"/>
    <mergeCell ref="N6:O7"/>
    <mergeCell ref="P6:U6"/>
    <mergeCell ref="T12:U12"/>
    <mergeCell ref="D10:E10"/>
    <mergeCell ref="R10:S10"/>
    <mergeCell ref="R11:S11"/>
    <mergeCell ref="T10:U10"/>
    <mergeCell ref="L11:M11"/>
    <mergeCell ref="H11:I11"/>
    <mergeCell ref="F10:G10"/>
    <mergeCell ref="P10:Q10"/>
    <mergeCell ref="N12:O12"/>
    <mergeCell ref="P13:Q13"/>
    <mergeCell ref="T13:U13"/>
    <mergeCell ref="V12:W12"/>
    <mergeCell ref="R12:S12"/>
    <mergeCell ref="T8:U8"/>
    <mergeCell ref="V8:W8"/>
    <mergeCell ref="V11:W11"/>
    <mergeCell ref="V10:W10"/>
    <mergeCell ref="T11:U11"/>
    <mergeCell ref="V9:W9"/>
    <mergeCell ref="N8:O8"/>
    <mergeCell ref="P8:Q8"/>
    <mergeCell ref="B19:C19"/>
    <mergeCell ref="T16:U16"/>
    <mergeCell ref="T19:U19"/>
    <mergeCell ref="N19:O19"/>
    <mergeCell ref="P19:Q19"/>
    <mergeCell ref="R19:S19"/>
    <mergeCell ref="P16:Q16"/>
    <mergeCell ref="N16:O16"/>
    <mergeCell ref="B12:C12"/>
    <mergeCell ref="R15:S15"/>
    <mergeCell ref="R13:S13"/>
    <mergeCell ref="N15:O15"/>
    <mergeCell ref="L15:M15"/>
    <mergeCell ref="L13:M13"/>
    <mergeCell ref="L14:M14"/>
    <mergeCell ref="N14:O14"/>
    <mergeCell ref="N13:O13"/>
    <mergeCell ref="R14:S14"/>
    <mergeCell ref="P18:Q18"/>
    <mergeCell ref="D19:E19"/>
    <mergeCell ref="F18:G18"/>
    <mergeCell ref="H12:I12"/>
    <mergeCell ref="N18:O18"/>
    <mergeCell ref="P17:Q17"/>
    <mergeCell ref="L17:M17"/>
    <mergeCell ref="J14:K14"/>
    <mergeCell ref="H14:I14"/>
    <mergeCell ref="F12:G12"/>
    <mergeCell ref="L16:M16"/>
    <mergeCell ref="P15:Q15"/>
    <mergeCell ref="R16:S16"/>
    <mergeCell ref="R17:S17"/>
    <mergeCell ref="N17:O17"/>
    <mergeCell ref="T17:U17"/>
    <mergeCell ref="F13:G13"/>
    <mergeCell ref="H13:I13"/>
    <mergeCell ref="D13:E13"/>
    <mergeCell ref="J13:K13"/>
    <mergeCell ref="T15:U15"/>
    <mergeCell ref="V15:W15"/>
    <mergeCell ref="P14:Q14"/>
    <mergeCell ref="V13:W13"/>
    <mergeCell ref="V14:W14"/>
    <mergeCell ref="T14:U14"/>
    <mergeCell ref="F14:G14"/>
    <mergeCell ref="B41:C44"/>
    <mergeCell ref="X37:Y37"/>
    <mergeCell ref="W43:Y43"/>
    <mergeCell ref="X36:Y36"/>
    <mergeCell ref="Q41:R41"/>
    <mergeCell ref="U41:V41"/>
    <mergeCell ref="T37:U37"/>
    <mergeCell ref="D44:J44"/>
    <mergeCell ref="W44:Y44"/>
    <mergeCell ref="Z36:AA36"/>
    <mergeCell ref="Z37:AA37"/>
    <mergeCell ref="Z38:AA38"/>
    <mergeCell ref="D42:J42"/>
    <mergeCell ref="P37:Q37"/>
    <mergeCell ref="P36:Q36"/>
    <mergeCell ref="D41:J41"/>
    <mergeCell ref="J36:K36"/>
    <mergeCell ref="L41:N41"/>
    <mergeCell ref="W42:Y42"/>
    <mergeCell ref="X38:Y38"/>
    <mergeCell ref="J38:U38"/>
    <mergeCell ref="V36:W36"/>
    <mergeCell ref="R37:S37"/>
    <mergeCell ref="J37:K37"/>
    <mergeCell ref="Y41:Z41"/>
    <mergeCell ref="N36:O36"/>
    <mergeCell ref="L36:M36"/>
    <mergeCell ref="N37:O37"/>
    <mergeCell ref="L37:M37"/>
    <mergeCell ref="J23:M24"/>
    <mergeCell ref="N23:Q23"/>
    <mergeCell ref="P24:Q24"/>
    <mergeCell ref="N24:O24"/>
    <mergeCell ref="D43:J43"/>
    <mergeCell ref="V38:W38"/>
    <mergeCell ref="T34:U34"/>
    <mergeCell ref="T36:U36"/>
    <mergeCell ref="R36:S36"/>
    <mergeCell ref="R35:S35"/>
    <mergeCell ref="L31:M32"/>
    <mergeCell ref="J31:K32"/>
    <mergeCell ref="J35:K35"/>
    <mergeCell ref="P34:Q34"/>
    <mergeCell ref="N35:O35"/>
    <mergeCell ref="J34:K34"/>
    <mergeCell ref="N27:O27"/>
    <mergeCell ref="P27:Q27"/>
    <mergeCell ref="R27:S27"/>
    <mergeCell ref="N34:O34"/>
    <mergeCell ref="R33:S33"/>
    <mergeCell ref="R31:S32"/>
    <mergeCell ref="R34:S34"/>
    <mergeCell ref="N31:O32"/>
    <mergeCell ref="T23:U24"/>
    <mergeCell ref="J25:M25"/>
    <mergeCell ref="V37:W37"/>
    <mergeCell ref="V33:W33"/>
    <mergeCell ref="L35:M35"/>
    <mergeCell ref="P35:Q35"/>
    <mergeCell ref="P33:Q33"/>
    <mergeCell ref="N33:O33"/>
    <mergeCell ref="L33:M33"/>
    <mergeCell ref="R23:S24"/>
    <mergeCell ref="V35:W35"/>
    <mergeCell ref="V34:W34"/>
    <mergeCell ref="V28:W28"/>
    <mergeCell ref="T27:U27"/>
    <mergeCell ref="T35:U35"/>
    <mergeCell ref="T33:U33"/>
    <mergeCell ref="J28:U28"/>
    <mergeCell ref="L34:M34"/>
    <mergeCell ref="J33:K33"/>
    <mergeCell ref="P31:Q32"/>
    <mergeCell ref="J26:M26"/>
    <mergeCell ref="P25:Q25"/>
    <mergeCell ref="X31:Y32"/>
    <mergeCell ref="V31:W32"/>
    <mergeCell ref="X28:Y28"/>
    <mergeCell ref="V27:W27"/>
    <mergeCell ref="X27:Y27"/>
    <mergeCell ref="T31:U32"/>
    <mergeCell ref="V25:W25"/>
    <mergeCell ref="R25:S25"/>
    <mergeCell ref="N26:O26"/>
    <mergeCell ref="AN6:AO6"/>
    <mergeCell ref="X8:Y8"/>
    <mergeCell ref="AH6:AI6"/>
    <mergeCell ref="Z10:AA10"/>
    <mergeCell ref="Z9:AA9"/>
    <mergeCell ref="AK6:AL6"/>
    <mergeCell ref="X9:Y9"/>
    <mergeCell ref="AD6:AE6"/>
    <mergeCell ref="X5:Y7"/>
    <mergeCell ref="X10:Y10"/>
    <mergeCell ref="Z5:AA7"/>
    <mergeCell ref="Z8:AA8"/>
    <mergeCell ref="J27:M27"/>
    <mergeCell ref="T25:U25"/>
    <mergeCell ref="V26:W26"/>
    <mergeCell ref="T26:U26"/>
    <mergeCell ref="P26:Q26"/>
    <mergeCell ref="Z11:AA11"/>
    <mergeCell ref="X12:Y12"/>
    <mergeCell ref="Z12:AA12"/>
    <mergeCell ref="Z20:AA20"/>
    <mergeCell ref="Z17:AA17"/>
    <mergeCell ref="Z19:AA19"/>
    <mergeCell ref="Z23:AA24"/>
    <mergeCell ref="Z14:AA14"/>
    <mergeCell ref="Z15:AA15"/>
    <mergeCell ref="V23:W24"/>
    <mergeCell ref="V18:W18"/>
    <mergeCell ref="V19:W19"/>
    <mergeCell ref="V17:W17"/>
    <mergeCell ref="X26:Y26"/>
    <mergeCell ref="X11:Y11"/>
    <mergeCell ref="X15:Y15"/>
    <mergeCell ref="L19:M19"/>
    <mergeCell ref="J19:K19"/>
    <mergeCell ref="F19:G19"/>
    <mergeCell ref="H19:I19"/>
    <mergeCell ref="X17:Y17"/>
    <mergeCell ref="V20:W20"/>
    <mergeCell ref="X19:Y19"/>
    <mergeCell ref="X18:Y18"/>
    <mergeCell ref="T18:U18"/>
    <mergeCell ref="R18:S18"/>
    <mergeCell ref="Z27:AA27"/>
    <mergeCell ref="Z26:AA26"/>
    <mergeCell ref="R26:S26"/>
    <mergeCell ref="N25:O25"/>
    <mergeCell ref="X13:Y13"/>
    <mergeCell ref="X14:Y14"/>
    <mergeCell ref="X23:Y24"/>
    <mergeCell ref="X25:Y25"/>
    <mergeCell ref="V16:W16"/>
    <mergeCell ref="B20:U20"/>
    <mergeCell ref="AN23:AO23"/>
    <mergeCell ref="AN21:AO21"/>
    <mergeCell ref="Z13:AA13"/>
    <mergeCell ref="X16:Y16"/>
    <mergeCell ref="X20:Y20"/>
    <mergeCell ref="Z16:AA16"/>
    <mergeCell ref="Z25:AA25"/>
    <mergeCell ref="Z18:AA18"/>
    <mergeCell ref="Z33:AA33"/>
    <mergeCell ref="X35:Y35"/>
    <mergeCell ref="Z34:AA34"/>
    <mergeCell ref="Z35:AA35"/>
    <mergeCell ref="X34:Y34"/>
    <mergeCell ref="X33:Y33"/>
    <mergeCell ref="Z31:AA32"/>
    <mergeCell ref="Z28:AA28"/>
  </mergeCells>
  <phoneticPr fontId="2"/>
  <conditionalFormatting sqref="V20:W20">
    <cfRule type="expression" dxfId="255" priority="66" stopIfTrue="1">
      <formula>$V$20=0</formula>
    </cfRule>
  </conditionalFormatting>
  <conditionalFormatting sqref="X20:Y20">
    <cfRule type="expression" dxfId="254" priority="65" stopIfTrue="1">
      <formula>$X$20=0</formula>
    </cfRule>
  </conditionalFormatting>
  <conditionalFormatting sqref="Z20:AA20">
    <cfRule type="expression" dxfId="253" priority="64" stopIfTrue="1">
      <formula>$Z$20=0</formula>
    </cfRule>
  </conditionalFormatting>
  <conditionalFormatting sqref="V28:W28">
    <cfRule type="expression" dxfId="252" priority="63" stopIfTrue="1">
      <formula>$V$28:$W$28=0</formula>
    </cfRule>
  </conditionalFormatting>
  <conditionalFormatting sqref="V38:W38">
    <cfRule type="expression" dxfId="251" priority="62" stopIfTrue="1">
      <formula>$V$38:$W$38=0</formula>
    </cfRule>
  </conditionalFormatting>
  <conditionalFormatting sqref="Y41:Z41">
    <cfRule type="expression" dxfId="250" priority="61" stopIfTrue="1">
      <formula>$Y$41=0</formula>
    </cfRule>
  </conditionalFormatting>
  <conditionalFormatting sqref="Q41:R41">
    <cfRule type="expression" dxfId="249" priority="60" stopIfTrue="1">
      <formula>$Q$41=0</formula>
    </cfRule>
  </conditionalFormatting>
  <conditionalFormatting sqref="U41:V41">
    <cfRule type="expression" dxfId="248" priority="59" stopIfTrue="1">
      <formula>$U$41=0</formula>
    </cfRule>
  </conditionalFormatting>
  <conditionalFormatting sqref="L41:N41">
    <cfRule type="expression" dxfId="247" priority="58" stopIfTrue="1">
      <formula>$L$41=0</formula>
    </cfRule>
  </conditionalFormatting>
  <conditionalFormatting sqref="X8:Y8">
    <cfRule type="expression" dxfId="246" priority="56" stopIfTrue="1">
      <formula>#VALUE!</formula>
    </cfRule>
    <cfRule type="expression" dxfId="245" priority="57" stopIfTrue="1">
      <formula>#VALUE!</formula>
    </cfRule>
  </conditionalFormatting>
  <conditionalFormatting sqref="X19:Y19">
    <cfRule type="expression" dxfId="244" priority="55" stopIfTrue="1">
      <formula>#VALUE!</formula>
    </cfRule>
  </conditionalFormatting>
  <conditionalFormatting sqref="X28:Y28">
    <cfRule type="expression" dxfId="243" priority="28" stopIfTrue="1">
      <formula>$X$28:$Y$28=0</formula>
    </cfRule>
  </conditionalFormatting>
  <conditionalFormatting sqref="Z28:AA28">
    <cfRule type="expression" dxfId="242" priority="27" stopIfTrue="1">
      <formula>$Z$28:$AA$28=0</formula>
    </cfRule>
  </conditionalFormatting>
  <conditionalFormatting sqref="X38:Y38">
    <cfRule type="expression" dxfId="241" priority="26" stopIfTrue="1">
      <formula>$X$38:$Y$38=0</formula>
    </cfRule>
  </conditionalFormatting>
  <conditionalFormatting sqref="Z38:AA38">
    <cfRule type="expression" dxfId="240" priority="25" stopIfTrue="1">
      <formula>$Z$38:$AA$38=0</formula>
    </cfRule>
  </conditionalFormatting>
  <conditionalFormatting sqref="P8:U8">
    <cfRule type="expression" dxfId="239" priority="12" stopIfTrue="1">
      <formula>$AG$8=TRUE</formula>
    </cfRule>
  </conditionalFormatting>
  <conditionalFormatting sqref="P15:U15">
    <cfRule type="expression" dxfId="238" priority="11" stopIfTrue="1">
      <formula>$AG$15=TRUE</formula>
    </cfRule>
  </conditionalFormatting>
  <conditionalFormatting sqref="P16:U16">
    <cfRule type="expression" dxfId="237" priority="10" stopIfTrue="1">
      <formula>$AG$16=TRUE</formula>
    </cfRule>
  </conditionalFormatting>
  <conditionalFormatting sqref="P17:U17">
    <cfRule type="expression" dxfId="236" priority="9" stopIfTrue="1">
      <formula>$AG$17=TRUE</formula>
    </cfRule>
  </conditionalFormatting>
  <conditionalFormatting sqref="P18:U18">
    <cfRule type="expression" dxfId="235" priority="8" stopIfTrue="1">
      <formula>$AG$18=TRUE</formula>
    </cfRule>
  </conditionalFormatting>
  <conditionalFormatting sqref="P19:U19">
    <cfRule type="expression" dxfId="234" priority="7" stopIfTrue="1">
      <formula>$AG$19=TRUE</formula>
    </cfRule>
  </conditionalFormatting>
  <conditionalFormatting sqref="P10:U10">
    <cfRule type="expression" dxfId="233" priority="6" stopIfTrue="1">
      <formula>$AG$10=TRUE</formula>
    </cfRule>
  </conditionalFormatting>
  <conditionalFormatting sqref="P11:U11">
    <cfRule type="expression" dxfId="232" priority="5" stopIfTrue="1">
      <formula>$AG$11=TRUE</formula>
    </cfRule>
  </conditionalFormatting>
  <conditionalFormatting sqref="P14:U14">
    <cfRule type="expression" dxfId="231" priority="4" stopIfTrue="1">
      <formula>$AG$14=TRUE</formula>
    </cfRule>
  </conditionalFormatting>
  <conditionalFormatting sqref="P9:U9">
    <cfRule type="expression" dxfId="230" priority="3" stopIfTrue="1">
      <formula>$AG$9=TRUE</formula>
    </cfRule>
  </conditionalFormatting>
  <conditionalFormatting sqref="P12:U12">
    <cfRule type="expression" dxfId="229" priority="2">
      <formula>$AG$12=TRUE</formula>
    </cfRule>
  </conditionalFormatting>
  <conditionalFormatting sqref="P13:U13">
    <cfRule type="expression" dxfId="228" priority="1">
      <formula>$AG$13=TRUE</formula>
    </cfRule>
  </conditionalFormatting>
  <dataValidations count="1">
    <dataValidation type="list" allowBlank="1" showInputMessage="1" showErrorMessage="1" sqref="U25 U27 T25:T27 M14:M19 L8:L19 M8:M11">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1.8[H28]</oddHeader>
    <oddFooter>&amp;Cⓒ　2013 hyoukakyoukai.All right reserved</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Sheet4"/>
  <dimension ref="B1:AO106"/>
  <sheetViews>
    <sheetView showGridLines="0" view="pageBreakPreview" zoomScaleNormal="100" zoomScaleSheetLayoutView="100" workbookViewId="0">
      <selection activeCell="B8" sqref="B8:C8"/>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109</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45">
        <f ca="1">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0.43099999999999999</v>
      </c>
      <c r="W4" s="346"/>
      <c r="X4" s="345">
        <f ca="1">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0.32500000000000001</v>
      </c>
      <c r="Y4" s="346"/>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37" t="s">
        <v>87</v>
      </c>
      <c r="AO7" s="37" t="s">
        <v>85</v>
      </c>
    </row>
    <row r="8" spans="2:41" s="37" customFormat="1" ht="21.95" customHeight="1">
      <c r="B8" s="232"/>
      <c r="C8" s="349"/>
      <c r="D8" s="194"/>
      <c r="E8" s="195"/>
      <c r="F8" s="195"/>
      <c r="G8" s="221"/>
      <c r="H8" s="226"/>
      <c r="I8" s="226"/>
      <c r="J8" s="226"/>
      <c r="K8" s="226"/>
      <c r="L8" s="199"/>
      <c r="M8" s="199"/>
      <c r="N8" s="305"/>
      <c r="O8" s="306"/>
      <c r="P8" s="307"/>
      <c r="Q8" s="308"/>
      <c r="R8" s="347"/>
      <c r="S8" s="348"/>
      <c r="T8" s="317"/>
      <c r="U8" s="307"/>
      <c r="V8" s="207" t="str">
        <f>IF(D8="","",AD8)</f>
        <v/>
      </c>
      <c r="W8" s="207"/>
      <c r="X8" s="207" t="str">
        <f t="shared" ref="X8:X19" si="0">IF(D8="","",IF(ISERROR(AE8),"-",AE8))</f>
        <v/>
      </c>
      <c r="Y8" s="207"/>
      <c r="Z8" s="207" t="str">
        <f>IF(D8="","",D8*F8*AN8)</f>
        <v/>
      </c>
      <c r="AA8" s="208"/>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 ca="1">IF(共通条件・結果!$AA$7="８地域",H8,IF(AO8="FALSE",H8,IF(L8="風除室",1/((1/H8)+0.1),0.5*H8+0.5*(1/((1/H8)+AO8)))))</f>
        <v>0</v>
      </c>
      <c r="AO8" s="39" t="str">
        <f t="shared" ref="AO8:AO19" si="1">IF(L8="","FALSE",IF(L8="雨戸",0.1,IF(L8="ｼｬｯﾀｰ",0.1,IF(L8="障子",0.18,IF(L8="風除室",0.1)))))</f>
        <v>FALSE</v>
      </c>
    </row>
    <row r="9" spans="2:41" s="37" customFormat="1" ht="21.95" customHeight="1">
      <c r="B9" s="218"/>
      <c r="C9" s="350"/>
      <c r="D9" s="318"/>
      <c r="E9" s="278"/>
      <c r="F9" s="278"/>
      <c r="G9" s="279"/>
      <c r="H9" s="254"/>
      <c r="I9" s="254"/>
      <c r="J9" s="254"/>
      <c r="K9" s="254"/>
      <c r="L9" s="227" t="s">
        <v>65</v>
      </c>
      <c r="M9" s="227"/>
      <c r="N9" s="300"/>
      <c r="O9" s="301"/>
      <c r="P9" s="297"/>
      <c r="Q9" s="298"/>
      <c r="R9" s="302"/>
      <c r="S9" s="303"/>
      <c r="T9" s="296"/>
      <c r="U9" s="297"/>
      <c r="V9" s="174" t="str">
        <f t="shared" ref="V9:V19" si="2">IF(D9="","",AD9)</f>
        <v/>
      </c>
      <c r="W9" s="174"/>
      <c r="X9" s="174" t="str">
        <f t="shared" si="0"/>
        <v/>
      </c>
      <c r="Y9" s="174"/>
      <c r="Z9" s="174" t="str">
        <f t="shared" ref="Z9:Z19" si="3">IF(D9="","",D9*F9*AN9)</f>
        <v/>
      </c>
      <c r="AA9" s="175"/>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 ca="1">IF(共通条件・結果!$AA$7="８地域",H9,IF(AO9="FALSE",H9,IF(L9="風除室",1/((1/H9)+0.1),0.5*H9+0.5*(1/((1/H9)+AO9)))))</f>
        <v>#DIV/0!</v>
      </c>
      <c r="AO9" s="39" t="b">
        <f t="shared" si="1"/>
        <v>0</v>
      </c>
    </row>
    <row r="10" spans="2:41" s="37" customFormat="1" ht="21.95" customHeight="1">
      <c r="B10" s="218"/>
      <c r="C10" s="350"/>
      <c r="D10" s="318"/>
      <c r="E10" s="278"/>
      <c r="F10" s="278"/>
      <c r="G10" s="279"/>
      <c r="H10" s="254"/>
      <c r="I10" s="254"/>
      <c r="J10" s="254"/>
      <c r="K10" s="254"/>
      <c r="L10" s="227" t="s">
        <v>65</v>
      </c>
      <c r="M10" s="227"/>
      <c r="N10" s="300"/>
      <c r="O10" s="301"/>
      <c r="P10" s="298"/>
      <c r="Q10" s="299"/>
      <c r="R10" s="295"/>
      <c r="S10" s="299"/>
      <c r="T10" s="295"/>
      <c r="U10" s="296"/>
      <c r="V10" s="174" t="str">
        <f t="shared" si="2"/>
        <v/>
      </c>
      <c r="W10" s="174"/>
      <c r="X10" s="174" t="str">
        <f t="shared" si="0"/>
        <v/>
      </c>
      <c r="Y10" s="174"/>
      <c r="Z10" s="174" t="str">
        <f t="shared" si="3"/>
        <v/>
      </c>
      <c r="AA10" s="175"/>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 ca="1">IF(共通条件・結果!$AA$7="８地域",H10,IF(AO10="FALSE",H10,IF(L10="風除室",1/((1/H10)+0.1),0.5*H10+0.5*(1/((1/H10)+AO10)))))</f>
        <v>#DIV/0!</v>
      </c>
      <c r="AO10" s="39" t="b">
        <f t="shared" si="1"/>
        <v>0</v>
      </c>
    </row>
    <row r="11" spans="2:41" s="37" customFormat="1" ht="21.95" customHeight="1">
      <c r="B11" s="218"/>
      <c r="C11" s="350"/>
      <c r="D11" s="318"/>
      <c r="E11" s="278"/>
      <c r="F11" s="278"/>
      <c r="G11" s="279"/>
      <c r="H11" s="254"/>
      <c r="I11" s="254"/>
      <c r="J11" s="254"/>
      <c r="K11" s="254"/>
      <c r="L11" s="227" t="s">
        <v>65</v>
      </c>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 ca="1">IF(共通条件・結果!$AA$7="８地域",H11,IF(AO11="FALSE",H11,IF(L11="風除室",1/((1/H11)+0.1),0.5*H11+0.5*(1/((1/H11)+AO11)))))</f>
        <v>#DIV/0!</v>
      </c>
      <c r="AO11" s="39" t="b">
        <f t="shared" si="1"/>
        <v>0</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4" t="str">
        <f>IF(D12="","",AD12)</f>
        <v/>
      </c>
      <c r="W12" s="174"/>
      <c r="X12" s="174" t="str">
        <f>IF(D12="","",IF(ISERROR(AE12),"-",AE12))</f>
        <v/>
      </c>
      <c r="Y12" s="174"/>
      <c r="Z12" s="174" t="str">
        <f>IF(D12="","",D12*F12*AN12)</f>
        <v/>
      </c>
      <c r="AA12" s="175"/>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0.01*(16+24*(2*R12+T12)/P12)</f>
        <v>#DIV/0!</v>
      </c>
      <c r="AL12" s="37" t="e">
        <f>0.01*(10+15*(2*R12+T12)/P12)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4" t="str">
        <f>IF(D13="","",AD13)</f>
        <v/>
      </c>
      <c r="W13" s="174"/>
      <c r="X13" s="174" t="str">
        <f>IF(D13="","",IF(ISERROR(AE13),"-",AE13))</f>
        <v/>
      </c>
      <c r="Y13" s="174"/>
      <c r="Z13" s="174" t="str">
        <f>IF(D13="","",D13*F13*AN13)</f>
        <v/>
      </c>
      <c r="AA13" s="175"/>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0.01*(16+24*(2*R13+T13)/P13)</f>
        <v>#DIV/0!</v>
      </c>
      <c r="AL13" s="37" t="e">
        <f>0.01*(10+15*(2*R13+T13)/P13)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 ca="1">IF(共通条件・結果!$AA$7="８地域",H19,IF(AO19="FALSE",H19,IF(L19="風除室",1/((1/H19)+0.1),0.5*H19+0.5*(1/((1/H19)+AO19)))))</f>
        <v>#DIV/0!</v>
      </c>
      <c r="AO19" s="39" t="b">
        <f t="shared" si="1"/>
        <v>0</v>
      </c>
    </row>
    <row r="20" spans="2:41" s="37" customFormat="1" ht="21.95" customHeight="1" thickBot="1">
      <c r="B20" s="197" t="s">
        <v>119</v>
      </c>
      <c r="C20" s="198"/>
      <c r="D20" s="198"/>
      <c r="E20" s="198"/>
      <c r="F20" s="198"/>
      <c r="G20" s="198"/>
      <c r="H20" s="198"/>
      <c r="I20" s="198"/>
      <c r="J20" s="198"/>
      <c r="K20" s="198"/>
      <c r="L20" s="198"/>
      <c r="M20" s="198"/>
      <c r="N20" s="198"/>
      <c r="O20" s="198"/>
      <c r="P20" s="198"/>
      <c r="Q20" s="198"/>
      <c r="R20" s="198"/>
      <c r="S20" s="198"/>
      <c r="T20" s="198"/>
      <c r="U20" s="198"/>
      <c r="V20" s="184">
        <f>SUM(V8:W19)</f>
        <v>0</v>
      </c>
      <c r="W20" s="184"/>
      <c r="X20" s="184">
        <f>SUM(X8:Y19)</f>
        <v>0</v>
      </c>
      <c r="Y20" s="184"/>
      <c r="Z20" s="184">
        <f>SUM(Z8:AA19)</f>
        <v>0</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143</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c r="K33" s="233"/>
      <c r="L33" s="246"/>
      <c r="M33" s="247"/>
      <c r="N33" s="246"/>
      <c r="O33" s="247"/>
      <c r="P33" s="244" t="str">
        <f>IF(L33="","",L33-N33)</f>
        <v/>
      </c>
      <c r="Q33" s="245"/>
      <c r="R33" s="226"/>
      <c r="S33" s="226"/>
      <c r="T33" s="230"/>
      <c r="U33" s="230"/>
      <c r="V33" s="172" t="str">
        <f>IF(P33="","",IF(AD33=TRUE,0,P33*R33*0.034*$V$4))</f>
        <v/>
      </c>
      <c r="W33" s="172"/>
      <c r="X33" s="181" t="str">
        <f>IF(P33="","",IF(ISERROR(P33*R33*0.034*$X$4),"-",IF(AD33=TRUE,0,P33*R33*0.034*$X$4)))</f>
        <v/>
      </c>
      <c r="Y33" s="182"/>
      <c r="Z33" s="172" t="str">
        <f>IF(R33="","",IF(AD33=TRUE,0.7*R33*P33,R33*P33))</f>
        <v/>
      </c>
      <c r="AA33" s="173"/>
      <c r="AD33" s="40" t="b">
        <v>0</v>
      </c>
      <c r="AE33" s="40">
        <f>IF(AD33=TRUE,0.7,1)</f>
        <v>1</v>
      </c>
      <c r="AF33" s="40" t="str">
        <f>IF(AD33=TRUE,0,"セル")</f>
        <v>セル</v>
      </c>
    </row>
    <row r="34" spans="2:32" s="37" customFormat="1" ht="21.95" customHeight="1">
      <c r="C34" s="41"/>
      <c r="D34" s="41"/>
      <c r="E34" s="41"/>
      <c r="F34" s="41"/>
      <c r="G34" s="41"/>
      <c r="H34" s="41"/>
      <c r="I34" s="41"/>
      <c r="J34" s="218"/>
      <c r="K34" s="220"/>
      <c r="L34" s="192"/>
      <c r="M34" s="193"/>
      <c r="N34" s="192"/>
      <c r="O34" s="193"/>
      <c r="P34" s="242" t="str">
        <f>IF(L34="","",L34-N34)</f>
        <v/>
      </c>
      <c r="Q34" s="243"/>
      <c r="R34" s="192"/>
      <c r="S34" s="193"/>
      <c r="T34" s="228"/>
      <c r="U34" s="229"/>
      <c r="V34" s="176" t="str">
        <f>IF(P34="","",IF(AD34=TRUE,0,P34*R34*0.034*$V$4))</f>
        <v/>
      </c>
      <c r="W34" s="177"/>
      <c r="X34" s="176" t="str">
        <f>IF(P34="","",IF(ISERROR(P34*R34*0.034*$X$4),"-",IF(AD34=TRUE,0,P34*R34*0.034*$X$4)))</f>
        <v/>
      </c>
      <c r="Y34" s="177"/>
      <c r="Z34" s="176" t="str">
        <f>IF(R34="","",IF(AD34=TRUE,0.7*R34*P34,R34*P34))</f>
        <v/>
      </c>
      <c r="AA34" s="178"/>
      <c r="AD34" s="40" t="b">
        <v>0</v>
      </c>
      <c r="AE34" s="40">
        <f>IF(AD34=TRUE,0.7,1)</f>
        <v>1</v>
      </c>
      <c r="AF34" s="40" t="str">
        <f>IF(AD34=TRUE,0,"セル")</f>
        <v>セル</v>
      </c>
    </row>
    <row r="35" spans="2:32" s="37" customFormat="1" ht="21.95" customHeight="1">
      <c r="C35" s="41"/>
      <c r="D35" s="41"/>
      <c r="E35" s="41"/>
      <c r="F35" s="41"/>
      <c r="G35" s="41"/>
      <c r="H35" s="41"/>
      <c r="I35" s="41"/>
      <c r="J35" s="218"/>
      <c r="K35" s="220"/>
      <c r="L35" s="192"/>
      <c r="M35" s="193"/>
      <c r="N35" s="192"/>
      <c r="O35" s="193"/>
      <c r="P35" s="242" t="str">
        <f>IF(L35="","",L35-N35)</f>
        <v/>
      </c>
      <c r="Q35" s="243"/>
      <c r="R35" s="192"/>
      <c r="S35" s="193"/>
      <c r="T35" s="228"/>
      <c r="U35" s="229"/>
      <c r="V35" s="176" t="str">
        <f>IF(P35="","",IF(AD35=TRUE,0,P35*R35*0.034*$V$4))</f>
        <v/>
      </c>
      <c r="W35" s="177"/>
      <c r="X35" s="176" t="str">
        <f>IF(P35="","",IF(ISERROR(P35*R35*0.034*$X$4),"-",IF(AD35=TRUE,0,P35*R35*0.034*$X$4)))</f>
        <v/>
      </c>
      <c r="Y35" s="177"/>
      <c r="Z35" s="176" t="str">
        <f>IF(R35="","",IF(AD35=TRUE,0.7*R35*P35,R35*P35))</f>
        <v/>
      </c>
      <c r="AA35" s="178"/>
      <c r="AD35" s="40" t="b">
        <v>0</v>
      </c>
      <c r="AE35" s="40">
        <f>IF(AD35=TRUE,0.7,1)</f>
        <v>1</v>
      </c>
      <c r="AF35" s="40" t="str">
        <f>IF(AD35=TRUE,0,"セル")</f>
        <v>セル</v>
      </c>
    </row>
    <row r="36" spans="2:32" s="37" customFormat="1" ht="21.95" customHeight="1">
      <c r="C36" s="41"/>
      <c r="D36" s="41"/>
      <c r="E36" s="41"/>
      <c r="F36" s="41"/>
      <c r="G36" s="41"/>
      <c r="H36" s="41"/>
      <c r="I36" s="41"/>
      <c r="J36" s="218"/>
      <c r="K36" s="220"/>
      <c r="L36" s="192"/>
      <c r="M36" s="193"/>
      <c r="N36" s="192"/>
      <c r="O36" s="193"/>
      <c r="P36" s="242" t="str">
        <f>IF(L36="","",L36-N36)</f>
        <v/>
      </c>
      <c r="Q36" s="243"/>
      <c r="R36" s="254"/>
      <c r="S36" s="254"/>
      <c r="T36" s="253"/>
      <c r="U36" s="253"/>
      <c r="V36" s="174" t="str">
        <f>IF(P36="","",IF(AD36=TRUE,0,P36*R36*0.034*$V$4))</f>
        <v/>
      </c>
      <c r="W36" s="174"/>
      <c r="X36" s="176" t="str">
        <f>IF(P36="","",IF(ISERROR(P36*R36*0.034*$X$4),"-",IF(AD36=TRUE,0,P36*R36*0.034*$X$4)))</f>
        <v/>
      </c>
      <c r="Y36" s="177"/>
      <c r="Z36" s="174" t="str">
        <f>IF(R36="","",IF(AD36=TRUE,0.7*R36*P36,R36*P36))</f>
        <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118</v>
      </c>
      <c r="K38" s="198"/>
      <c r="L38" s="198"/>
      <c r="M38" s="198"/>
      <c r="N38" s="198"/>
      <c r="O38" s="198"/>
      <c r="P38" s="198"/>
      <c r="Q38" s="198"/>
      <c r="R38" s="198"/>
      <c r="S38" s="198"/>
      <c r="T38" s="198"/>
      <c r="U38" s="231"/>
      <c r="V38" s="184">
        <f>SUM(V33:W37)</f>
        <v>0</v>
      </c>
      <c r="W38" s="184"/>
      <c r="X38" s="184">
        <f>SUM(X33:Y37)</f>
        <v>0</v>
      </c>
      <c r="Y38" s="184"/>
      <c r="Z38" s="184">
        <f>SUM(Z33:AA37)</f>
        <v>0</v>
      </c>
      <c r="AA38" s="189"/>
    </row>
    <row r="39" spans="2:32" s="37" customFormat="1" ht="9.9499999999999993" customHeight="1"/>
    <row r="40" spans="2:32" s="37" customFormat="1" ht="21.95" customHeight="1" thickBot="1">
      <c r="B40" s="38" t="s">
        <v>117</v>
      </c>
    </row>
    <row r="41" spans="2:32" s="37" customFormat="1" ht="21.95" customHeight="1">
      <c r="B41" s="280" t="s">
        <v>102</v>
      </c>
      <c r="C41" s="281"/>
      <c r="D41" s="273" t="s">
        <v>56</v>
      </c>
      <c r="E41" s="274"/>
      <c r="F41" s="274"/>
      <c r="G41" s="274"/>
      <c r="H41" s="274"/>
      <c r="I41" s="274"/>
      <c r="J41" s="275"/>
      <c r="K41" s="42"/>
      <c r="L41" s="276">
        <f>Q41+U41+Y41</f>
        <v>0</v>
      </c>
      <c r="M41" s="276"/>
      <c r="N41" s="276"/>
      <c r="O41" s="42" t="s">
        <v>24</v>
      </c>
      <c r="P41" s="43" t="s">
        <v>23</v>
      </c>
      <c r="Q41" s="288">
        <f>D8*F8+D9*F9+D10*F10+D11*F11+D12*F12+D13*F13+D14*F14+D15*F15+D16*F16+D17*F17+D18*F18+D19*F19</f>
        <v>0</v>
      </c>
      <c r="R41" s="288"/>
      <c r="S41" s="44" t="s">
        <v>25</v>
      </c>
      <c r="T41" s="44" t="s">
        <v>22</v>
      </c>
      <c r="U41" s="289">
        <f>N25*P25+N26*P26+N27*P27</f>
        <v>0</v>
      </c>
      <c r="V41" s="289"/>
      <c r="W41" s="44" t="s">
        <v>25</v>
      </c>
      <c r="X41" s="44" t="s">
        <v>1</v>
      </c>
      <c r="Y41" s="268">
        <f>SUM(P33:Q37)</f>
        <v>0</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0</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0</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0</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W44:Y44"/>
    <mergeCell ref="W43:Y43"/>
    <mergeCell ref="V38:W38"/>
    <mergeCell ref="W42:Y42"/>
    <mergeCell ref="U41:V41"/>
    <mergeCell ref="Y41:Z41"/>
    <mergeCell ref="X38:Y38"/>
    <mergeCell ref="Z38:AA38"/>
    <mergeCell ref="J38:U38"/>
    <mergeCell ref="B41:C44"/>
    <mergeCell ref="D41:J41"/>
    <mergeCell ref="L41:N41"/>
    <mergeCell ref="Q41:R41"/>
    <mergeCell ref="D43:J43"/>
    <mergeCell ref="D44:J44"/>
    <mergeCell ref="D42:J42"/>
    <mergeCell ref="Z37:AA37"/>
    <mergeCell ref="X36:Y36"/>
    <mergeCell ref="T36:U36"/>
    <mergeCell ref="N36:O36"/>
    <mergeCell ref="Z36:AA36"/>
    <mergeCell ref="P37:Q37"/>
    <mergeCell ref="R37:S37"/>
    <mergeCell ref="T37:U37"/>
    <mergeCell ref="X37:Y37"/>
    <mergeCell ref="J37:K37"/>
    <mergeCell ref="J36:K36"/>
    <mergeCell ref="P36:Q36"/>
    <mergeCell ref="V37:W37"/>
    <mergeCell ref="N37:O37"/>
    <mergeCell ref="V36:W36"/>
    <mergeCell ref="L36:M36"/>
    <mergeCell ref="L37:M37"/>
    <mergeCell ref="R36:S36"/>
    <mergeCell ref="J34:K34"/>
    <mergeCell ref="L35:M35"/>
    <mergeCell ref="V34:W34"/>
    <mergeCell ref="V33:W33"/>
    <mergeCell ref="N35:O35"/>
    <mergeCell ref="J35:K35"/>
    <mergeCell ref="L34:M34"/>
    <mergeCell ref="R35:S35"/>
    <mergeCell ref="N34:O34"/>
    <mergeCell ref="Z35:AA35"/>
    <mergeCell ref="Z34:AA34"/>
    <mergeCell ref="T35:U35"/>
    <mergeCell ref="X35:Y35"/>
    <mergeCell ref="V35:W35"/>
    <mergeCell ref="P35:Q35"/>
    <mergeCell ref="T34:U34"/>
    <mergeCell ref="P34:Q34"/>
    <mergeCell ref="R34:S34"/>
    <mergeCell ref="X34:Y34"/>
    <mergeCell ref="Z33:AA33"/>
    <mergeCell ref="X33:Y33"/>
    <mergeCell ref="Z31:AA32"/>
    <mergeCell ref="N31:O32"/>
    <mergeCell ref="L31:M32"/>
    <mergeCell ref="R33:S33"/>
    <mergeCell ref="T31:U32"/>
    <mergeCell ref="P33:Q33"/>
    <mergeCell ref="R31:S32"/>
    <mergeCell ref="J28:U28"/>
    <mergeCell ref="L33:M33"/>
    <mergeCell ref="J33:K33"/>
    <mergeCell ref="P31:Q32"/>
    <mergeCell ref="N33:O33"/>
    <mergeCell ref="Z28:AA28"/>
    <mergeCell ref="X28:Y28"/>
    <mergeCell ref="T33:U33"/>
    <mergeCell ref="V28:W28"/>
    <mergeCell ref="J31:K32"/>
    <mergeCell ref="V31:W32"/>
    <mergeCell ref="X31:Y32"/>
    <mergeCell ref="F19:G19"/>
    <mergeCell ref="H19:I19"/>
    <mergeCell ref="J26:M26"/>
    <mergeCell ref="J27:M27"/>
    <mergeCell ref="J23:M24"/>
    <mergeCell ref="J25:M25"/>
    <mergeCell ref="N23:Q23"/>
    <mergeCell ref="P24:Q24"/>
    <mergeCell ref="H17:I17"/>
    <mergeCell ref="L17:M17"/>
    <mergeCell ref="X27:Y27"/>
    <mergeCell ref="N25:O25"/>
    <mergeCell ref="T26:U26"/>
    <mergeCell ref="B20:U20"/>
    <mergeCell ref="T27:U27"/>
    <mergeCell ref="P25:Q25"/>
    <mergeCell ref="N26:O26"/>
    <mergeCell ref="P27:Q27"/>
    <mergeCell ref="X20:Y20"/>
    <mergeCell ref="X23:Y24"/>
    <mergeCell ref="X25:Y25"/>
    <mergeCell ref="Z25:AA25"/>
    <mergeCell ref="Z23:AA24"/>
    <mergeCell ref="N27:O27"/>
    <mergeCell ref="P26:Q26"/>
    <mergeCell ref="N24:O24"/>
    <mergeCell ref="B17:C17"/>
    <mergeCell ref="D17:E17"/>
    <mergeCell ref="B18:C18"/>
    <mergeCell ref="F17:G17"/>
    <mergeCell ref="D18:E18"/>
    <mergeCell ref="B19:C19"/>
    <mergeCell ref="D19:E19"/>
    <mergeCell ref="N17:O17"/>
    <mergeCell ref="N18:O18"/>
    <mergeCell ref="N19:O19"/>
    <mergeCell ref="R19:S19"/>
    <mergeCell ref="R17:S17"/>
    <mergeCell ref="R18:S18"/>
    <mergeCell ref="P19:Q19"/>
    <mergeCell ref="R27:S27"/>
    <mergeCell ref="R26:S26"/>
    <mergeCell ref="R25:S25"/>
    <mergeCell ref="J18:K18"/>
    <mergeCell ref="J19:K19"/>
    <mergeCell ref="F18:G18"/>
    <mergeCell ref="H18:I18"/>
    <mergeCell ref="R23:S24"/>
    <mergeCell ref="L19:M19"/>
    <mergeCell ref="L18:M18"/>
    <mergeCell ref="V26:W26"/>
    <mergeCell ref="V27:W27"/>
    <mergeCell ref="Z27:AA27"/>
    <mergeCell ref="X26:Y26"/>
    <mergeCell ref="Z26:AA26"/>
    <mergeCell ref="T19:U19"/>
    <mergeCell ref="X19:Y19"/>
    <mergeCell ref="V23:W24"/>
    <mergeCell ref="T25:U25"/>
    <mergeCell ref="Z20:AA20"/>
    <mergeCell ref="AN23:AO23"/>
    <mergeCell ref="V25:W25"/>
    <mergeCell ref="T23:U24"/>
    <mergeCell ref="Z11:AA11"/>
    <mergeCell ref="AN21:AO21"/>
    <mergeCell ref="Z12:AA12"/>
    <mergeCell ref="V12:W12"/>
    <mergeCell ref="T15:U15"/>
    <mergeCell ref="X16:Y16"/>
    <mergeCell ref="V20:W20"/>
    <mergeCell ref="V18:W18"/>
    <mergeCell ref="T17:U17"/>
    <mergeCell ref="V15:W15"/>
    <mergeCell ref="X11:Y11"/>
    <mergeCell ref="X13:Y13"/>
    <mergeCell ref="V13:W13"/>
    <mergeCell ref="T13:U13"/>
    <mergeCell ref="T18:U18"/>
    <mergeCell ref="N9:O9"/>
    <mergeCell ref="T8:U8"/>
    <mergeCell ref="P8:Q8"/>
    <mergeCell ref="F8:G8"/>
    <mergeCell ref="R7:S7"/>
    <mergeCell ref="T7:U7"/>
    <mergeCell ref="R8:S8"/>
    <mergeCell ref="L8:M8"/>
    <mergeCell ref="R9:S9"/>
    <mergeCell ref="R16:S16"/>
    <mergeCell ref="P18:Q18"/>
    <mergeCell ref="Z14:AA14"/>
    <mergeCell ref="P16:Q16"/>
    <mergeCell ref="Z18:AA18"/>
    <mergeCell ref="P17:Q17"/>
    <mergeCell ref="V17:W17"/>
    <mergeCell ref="T14:U14"/>
    <mergeCell ref="T16:U16"/>
    <mergeCell ref="X18:Y18"/>
    <mergeCell ref="N10:O10"/>
    <mergeCell ref="L11:M11"/>
    <mergeCell ref="L10:M10"/>
    <mergeCell ref="V10:W10"/>
    <mergeCell ref="N11:O11"/>
    <mergeCell ref="P11:Q11"/>
    <mergeCell ref="R10:S10"/>
    <mergeCell ref="P10:Q10"/>
    <mergeCell ref="T11:U11"/>
    <mergeCell ref="V11:W11"/>
    <mergeCell ref="AD6:AE6"/>
    <mergeCell ref="V5:W7"/>
    <mergeCell ref="Z5:AA7"/>
    <mergeCell ref="B2:AA2"/>
    <mergeCell ref="R4:U4"/>
    <mergeCell ref="V4:W4"/>
    <mergeCell ref="X4:Y4"/>
    <mergeCell ref="D6:E7"/>
    <mergeCell ref="L5:M7"/>
    <mergeCell ref="J5:K7"/>
    <mergeCell ref="P7:Q7"/>
    <mergeCell ref="AN6:AO6"/>
    <mergeCell ref="V8:W8"/>
    <mergeCell ref="X8:Y8"/>
    <mergeCell ref="Z8:AA8"/>
    <mergeCell ref="X5:Y7"/>
    <mergeCell ref="AK6:AL6"/>
    <mergeCell ref="AH6:AI6"/>
    <mergeCell ref="R14:S14"/>
    <mergeCell ref="N14:O14"/>
    <mergeCell ref="R13:S13"/>
    <mergeCell ref="N5:U5"/>
    <mergeCell ref="B5:C7"/>
    <mergeCell ref="D5:G5"/>
    <mergeCell ref="H5:I7"/>
    <mergeCell ref="F6:G7"/>
    <mergeCell ref="N6:O7"/>
    <mergeCell ref="P6:U6"/>
    <mergeCell ref="X9:Y9"/>
    <mergeCell ref="T9:U9"/>
    <mergeCell ref="V9:W9"/>
    <mergeCell ref="N12:O12"/>
    <mergeCell ref="N16:O16"/>
    <mergeCell ref="R15:S15"/>
    <mergeCell ref="N13:O13"/>
    <mergeCell ref="P15:Q15"/>
    <mergeCell ref="N15:O15"/>
    <mergeCell ref="P14:Q14"/>
    <mergeCell ref="Z13:AA13"/>
    <mergeCell ref="Z16:AA16"/>
    <mergeCell ref="X12:Y12"/>
    <mergeCell ref="Z19:AA19"/>
    <mergeCell ref="X17:Y17"/>
    <mergeCell ref="N8:O8"/>
    <mergeCell ref="Z10:AA10"/>
    <mergeCell ref="X10:Y10"/>
    <mergeCell ref="T10:U10"/>
    <mergeCell ref="Z9:AA9"/>
    <mergeCell ref="H14:I14"/>
    <mergeCell ref="H15:I15"/>
    <mergeCell ref="J13:K13"/>
    <mergeCell ref="V19:W19"/>
    <mergeCell ref="X14:Y14"/>
    <mergeCell ref="Z15:AA15"/>
    <mergeCell ref="V16:W16"/>
    <mergeCell ref="V14:W14"/>
    <mergeCell ref="Z17:AA17"/>
    <mergeCell ref="X15:Y15"/>
    <mergeCell ref="B9:C9"/>
    <mergeCell ref="B10:C10"/>
    <mergeCell ref="B13:C13"/>
    <mergeCell ref="B12:C12"/>
    <mergeCell ref="B11:C11"/>
    <mergeCell ref="J17:K17"/>
    <mergeCell ref="H13:I13"/>
    <mergeCell ref="H9:I9"/>
    <mergeCell ref="J9:K9"/>
    <mergeCell ref="J10:K10"/>
    <mergeCell ref="L12:M12"/>
    <mergeCell ref="J11:K11"/>
    <mergeCell ref="F9:G9"/>
    <mergeCell ref="D9:E9"/>
    <mergeCell ref="F11:G11"/>
    <mergeCell ref="D12:E12"/>
    <mergeCell ref="F12:G12"/>
    <mergeCell ref="D11:E11"/>
    <mergeCell ref="L14:M14"/>
    <mergeCell ref="J14:K14"/>
    <mergeCell ref="J15:K15"/>
    <mergeCell ref="B8:C8"/>
    <mergeCell ref="D8:E8"/>
    <mergeCell ref="L13:M13"/>
    <mergeCell ref="D10:E10"/>
    <mergeCell ref="F10:G10"/>
    <mergeCell ref="H10:I10"/>
    <mergeCell ref="L9:M9"/>
    <mergeCell ref="H8:I8"/>
    <mergeCell ref="J8:K8"/>
    <mergeCell ref="T12:U12"/>
    <mergeCell ref="P9:Q9"/>
    <mergeCell ref="P12:Q12"/>
    <mergeCell ref="R11:S11"/>
    <mergeCell ref="R12:S12"/>
    <mergeCell ref="H12:I12"/>
    <mergeCell ref="H11:I11"/>
    <mergeCell ref="J12:K12"/>
    <mergeCell ref="P13:Q13"/>
    <mergeCell ref="B15:C15"/>
    <mergeCell ref="D15:E15"/>
    <mergeCell ref="F15:G15"/>
    <mergeCell ref="B14:C14"/>
    <mergeCell ref="D14:E14"/>
    <mergeCell ref="F14:G14"/>
    <mergeCell ref="F13:G13"/>
    <mergeCell ref="D13:E13"/>
    <mergeCell ref="L15:M15"/>
    <mergeCell ref="D16:E16"/>
    <mergeCell ref="F16:G16"/>
    <mergeCell ref="L16:M16"/>
    <mergeCell ref="B16:C16"/>
    <mergeCell ref="H16:I16"/>
    <mergeCell ref="J16:K16"/>
  </mergeCells>
  <phoneticPr fontId="2"/>
  <conditionalFormatting sqref="V20:W20">
    <cfRule type="expression" dxfId="227" priority="48" stopIfTrue="1">
      <formula>$V$20=0</formula>
    </cfRule>
  </conditionalFormatting>
  <conditionalFormatting sqref="X20:Y20">
    <cfRule type="expression" dxfId="226" priority="47" stopIfTrue="1">
      <formula>$X$20=0</formula>
    </cfRule>
  </conditionalFormatting>
  <conditionalFormatting sqref="Z20:AA20">
    <cfRule type="expression" dxfId="225" priority="46" stopIfTrue="1">
      <formula>$Z$20=0</formula>
    </cfRule>
  </conditionalFormatting>
  <conditionalFormatting sqref="V28:W28">
    <cfRule type="expression" dxfId="224" priority="45" stopIfTrue="1">
      <formula>$V$28:$W$28=0</formula>
    </cfRule>
  </conditionalFormatting>
  <conditionalFormatting sqref="V38:W38">
    <cfRule type="expression" dxfId="223" priority="44" stopIfTrue="1">
      <formula>$V$38:$W$38=0</formula>
    </cfRule>
  </conditionalFormatting>
  <conditionalFormatting sqref="Y41:Z41">
    <cfRule type="expression" dxfId="222" priority="43" stopIfTrue="1">
      <formula>$Y$41=0</formula>
    </cfRule>
  </conditionalFormatting>
  <conditionalFormatting sqref="Q41:R41">
    <cfRule type="expression" dxfId="221" priority="42" stopIfTrue="1">
      <formula>$Q$41=0</formula>
    </cfRule>
  </conditionalFormatting>
  <conditionalFormatting sqref="U41:V41">
    <cfRule type="expression" dxfId="220" priority="41" stopIfTrue="1">
      <formula>$U$41=0</formula>
    </cfRule>
  </conditionalFormatting>
  <conditionalFormatting sqref="L41:N41">
    <cfRule type="expression" dxfId="219" priority="40" stopIfTrue="1">
      <formula>$L$41=0</formula>
    </cfRule>
  </conditionalFormatting>
  <conditionalFormatting sqref="X8:Y8">
    <cfRule type="expression" dxfId="218" priority="38" stopIfTrue="1">
      <formula>#VALUE!</formula>
    </cfRule>
    <cfRule type="expression" dxfId="217" priority="39" stopIfTrue="1">
      <formula>#VALUE!</formula>
    </cfRule>
  </conditionalFormatting>
  <conditionalFormatting sqref="X19:Y19">
    <cfRule type="expression" dxfId="216" priority="37" stopIfTrue="1">
      <formula>#VALUE!</formula>
    </cfRule>
  </conditionalFormatting>
  <conditionalFormatting sqref="X28:Y28">
    <cfRule type="expression" dxfId="215" priority="26" stopIfTrue="1">
      <formula>$X$28:$Y$28=0</formula>
    </cfRule>
  </conditionalFormatting>
  <conditionalFormatting sqref="Z28:AA28">
    <cfRule type="expression" dxfId="214" priority="25" stopIfTrue="1">
      <formula>$Z$28:$AA$28=0</formula>
    </cfRule>
  </conditionalFormatting>
  <conditionalFormatting sqref="X38:Y38">
    <cfRule type="expression" dxfId="213" priority="24" stopIfTrue="1">
      <formula>$X$38:$Y$38=0</formula>
    </cfRule>
  </conditionalFormatting>
  <conditionalFormatting sqref="Z38:AA38">
    <cfRule type="expression" dxfId="212" priority="23" stopIfTrue="1">
      <formula>$Z$38:$AA$38=0</formula>
    </cfRule>
  </conditionalFormatting>
  <conditionalFormatting sqref="P8:U8">
    <cfRule type="expression" dxfId="211" priority="12" stopIfTrue="1">
      <formula>$AG$8=TRUE</formula>
    </cfRule>
  </conditionalFormatting>
  <conditionalFormatting sqref="P15:U15">
    <cfRule type="expression" dxfId="210" priority="11" stopIfTrue="1">
      <formula>$AG$15=TRUE</formula>
    </cfRule>
  </conditionalFormatting>
  <conditionalFormatting sqref="P16:U16">
    <cfRule type="expression" dxfId="209" priority="10" stopIfTrue="1">
      <formula>$AG$16=TRUE</formula>
    </cfRule>
  </conditionalFormatting>
  <conditionalFormatting sqref="P17:U17">
    <cfRule type="expression" dxfId="208" priority="9" stopIfTrue="1">
      <formula>$AG$17=TRUE</formula>
    </cfRule>
  </conditionalFormatting>
  <conditionalFormatting sqref="P18:U18">
    <cfRule type="expression" dxfId="207" priority="8" stopIfTrue="1">
      <formula>$AG$18=TRUE</formula>
    </cfRule>
  </conditionalFormatting>
  <conditionalFormatting sqref="P19:U19">
    <cfRule type="expression" dxfId="206" priority="7" stopIfTrue="1">
      <formula>$AG$19=TRUE</formula>
    </cfRule>
  </conditionalFormatting>
  <conditionalFormatting sqref="P10:U10">
    <cfRule type="expression" dxfId="205" priority="6" stopIfTrue="1">
      <formula>$AG$10=TRUE</formula>
    </cfRule>
  </conditionalFormatting>
  <conditionalFormatting sqref="P11:U11">
    <cfRule type="expression" dxfId="204" priority="5" stopIfTrue="1">
      <formula>$AG$11=TRUE</formula>
    </cfRule>
  </conditionalFormatting>
  <conditionalFormatting sqref="P14:U14">
    <cfRule type="expression" dxfId="203" priority="4" stopIfTrue="1">
      <formula>$AG$14=TRUE</formula>
    </cfRule>
  </conditionalFormatting>
  <conditionalFormatting sqref="P9:U9">
    <cfRule type="expression" dxfId="202" priority="3" stopIfTrue="1">
      <formula>$AG$9=TRUE</formula>
    </cfRule>
  </conditionalFormatting>
  <conditionalFormatting sqref="P12:U12">
    <cfRule type="expression" dxfId="201" priority="2">
      <formula>$AG$12=TRUE</formula>
    </cfRule>
  </conditionalFormatting>
  <conditionalFormatting sqref="P13:U13">
    <cfRule type="expression" dxfId="200"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5"/>
  <dimension ref="B1:AO106"/>
  <sheetViews>
    <sheetView showGridLines="0" view="pageBreakPreview" topLeftCell="A16" zoomScaleNormal="100" zoomScaleSheetLayoutView="100" workbookViewId="0">
      <selection activeCell="R35" sqref="R35:S35"/>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110</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51">
        <f ca="1">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0.51200000000000001</v>
      </c>
      <c r="W4" s="352"/>
      <c r="X4" s="351">
        <f ca="1">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0.57899999999999996</v>
      </c>
      <c r="Y4" s="352"/>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v>105</v>
      </c>
      <c r="C8" s="349"/>
      <c r="D8" s="194">
        <v>1.65</v>
      </c>
      <c r="E8" s="195"/>
      <c r="F8" s="195">
        <v>0.9</v>
      </c>
      <c r="G8" s="221"/>
      <c r="H8" s="226">
        <v>1.7</v>
      </c>
      <c r="I8" s="226"/>
      <c r="J8" s="226">
        <v>0.32</v>
      </c>
      <c r="K8" s="226"/>
      <c r="L8" s="199" t="s">
        <v>65</v>
      </c>
      <c r="M8" s="199"/>
      <c r="N8" s="305"/>
      <c r="O8" s="306"/>
      <c r="P8" s="307"/>
      <c r="Q8" s="308"/>
      <c r="R8" s="347"/>
      <c r="S8" s="348"/>
      <c r="T8" s="317"/>
      <c r="U8" s="307"/>
      <c r="V8" s="207">
        <f>IF(D8="","",AD8)</f>
        <v>0.22627123199999999</v>
      </c>
      <c r="W8" s="207"/>
      <c r="X8" s="207">
        <f t="shared" ref="X8:X19" si="0">IF(D8="","",IF(ISERROR(AE8),"-",AE8))</f>
        <v>0.14032180799999999</v>
      </c>
      <c r="Y8" s="207"/>
      <c r="Z8" s="207">
        <f>IF(D8="","",D8*F8*AN8)</f>
        <v>2.5244999999999997</v>
      </c>
      <c r="AA8" s="208"/>
      <c r="AD8" s="37">
        <f>D8*F8*J8*$V$4*AH8</f>
        <v>0.22627123199999999</v>
      </c>
      <c r="AE8" s="37">
        <f>D8*F8*J8*$X$4*AI8</f>
        <v>0.14032180799999999</v>
      </c>
      <c r="AG8" s="40" t="b">
        <v>1</v>
      </c>
      <c r="AH8" s="37" t="str">
        <f>IF(AG8=TRUE,"0.93",IF(ISERROR(AK8),"エラー",IF(AK8&gt;0.93,"0.93",AK8)))</f>
        <v>0.93</v>
      </c>
      <c r="AI8" s="37" t="str">
        <f>IF(AG8=TRUE,"0.51",IF(ISERROR(AL8),"エラー",IF(AL8&gt;0.72,"0.72",AL8)))</f>
        <v>0.51</v>
      </c>
      <c r="AK8" s="37" t="e">
        <f>0.01*(16+24*(2*R8+T8)/P8)</f>
        <v>#DIV/0!</v>
      </c>
      <c r="AL8" s="37" t="e">
        <f>0.01*(10+15*(2*R8+T8)/P8)</f>
        <v>#DIV/0!</v>
      </c>
      <c r="AN8" s="37">
        <f ca="1">IF(共通条件・結果!$AA$7="８地域",H8,IF(AO8="FALSE",H8,IF(L8="風除室",1/((1/H8)+0.1),0.5*H8+0.5*(1/((1/H8)+AO8)))))</f>
        <v>1.7</v>
      </c>
      <c r="AO8" s="39" t="b">
        <f t="shared" ref="AO8:AO19" si="1">IF(L8="","FALSE",IF(L8="雨戸",0.1,IF(L8="ｼｬｯﾀｰ",0.1,IF(L8="障子",0.18,IF(L8="風除室",0.1)))))</f>
        <v>0</v>
      </c>
    </row>
    <row r="9" spans="2:41" s="37" customFormat="1" ht="21.95" customHeight="1">
      <c r="B9" s="218">
        <v>105</v>
      </c>
      <c r="C9" s="350"/>
      <c r="D9" s="318">
        <v>1.65</v>
      </c>
      <c r="E9" s="278"/>
      <c r="F9" s="278">
        <v>0.9</v>
      </c>
      <c r="G9" s="279"/>
      <c r="H9" s="254">
        <v>1.7</v>
      </c>
      <c r="I9" s="254"/>
      <c r="J9" s="254">
        <v>0.32</v>
      </c>
      <c r="K9" s="254"/>
      <c r="L9" s="227"/>
      <c r="M9" s="227"/>
      <c r="N9" s="300"/>
      <c r="O9" s="301"/>
      <c r="P9" s="297"/>
      <c r="Q9" s="298"/>
      <c r="R9" s="302"/>
      <c r="S9" s="303"/>
      <c r="T9" s="296"/>
      <c r="U9" s="297"/>
      <c r="V9" s="174">
        <f t="shared" ref="V9:V19" si="2">IF(D9="","",AD9)</f>
        <v>0.22627123199999999</v>
      </c>
      <c r="W9" s="174"/>
      <c r="X9" s="174">
        <f t="shared" si="0"/>
        <v>0.14032180799999999</v>
      </c>
      <c r="Y9" s="174"/>
      <c r="Z9" s="174">
        <f t="shared" ref="Z9:Z19" si="3">IF(D9="","",D9*F9*AN9)</f>
        <v>2.5244999999999997</v>
      </c>
      <c r="AA9" s="175"/>
      <c r="AD9" s="37">
        <f t="shared" ref="AD9:AD19" si="4">D9*F9*J9*$V$4*AH9</f>
        <v>0.22627123199999999</v>
      </c>
      <c r="AE9" s="37">
        <f t="shared" ref="AE9:AE19" si="5">D9*F9*J9*$X$4*AI9</f>
        <v>0.14032180799999999</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 ca="1">IF(共通条件・結果!$AA$7="８地域",H9,IF(AO9="FALSE",H9,IF(L9="風除室",1/((1/H9)+0.1),0.5*H9+0.5*(1/((1/H9)+AO9)))))</f>
        <v>1.7</v>
      </c>
      <c r="AO9" s="39" t="str">
        <f t="shared" si="1"/>
        <v>FALSE</v>
      </c>
    </row>
    <row r="10" spans="2:41" s="37" customFormat="1" ht="21.95" customHeight="1">
      <c r="B10" s="218">
        <v>110</v>
      </c>
      <c r="C10" s="350"/>
      <c r="D10" s="318">
        <v>1.095</v>
      </c>
      <c r="E10" s="278"/>
      <c r="F10" s="278">
        <v>0.9</v>
      </c>
      <c r="G10" s="279"/>
      <c r="H10" s="254">
        <v>1.52</v>
      </c>
      <c r="I10" s="254"/>
      <c r="J10" s="254">
        <v>0.32</v>
      </c>
      <c r="K10" s="254"/>
      <c r="L10" s="227"/>
      <c r="M10" s="227"/>
      <c r="N10" s="300"/>
      <c r="O10" s="301"/>
      <c r="P10" s="298"/>
      <c r="Q10" s="299"/>
      <c r="R10" s="295"/>
      <c r="S10" s="299"/>
      <c r="T10" s="295"/>
      <c r="U10" s="296"/>
      <c r="V10" s="174">
        <f t="shared" si="2"/>
        <v>0.15016181760000002</v>
      </c>
      <c r="W10" s="174"/>
      <c r="X10" s="174">
        <f t="shared" si="0"/>
        <v>9.3122654400000004E-2</v>
      </c>
      <c r="Y10" s="174"/>
      <c r="Z10" s="174">
        <f t="shared" si="3"/>
        <v>1.4979600000000002</v>
      </c>
      <c r="AA10" s="175"/>
      <c r="AD10" s="37">
        <f t="shared" si="4"/>
        <v>0.15016181760000002</v>
      </c>
      <c r="AE10" s="37">
        <f t="shared" si="5"/>
        <v>9.3122654400000004E-2</v>
      </c>
      <c r="AG10" s="40" t="b">
        <v>1</v>
      </c>
      <c r="AH10" s="37" t="str">
        <f t="shared" si="6"/>
        <v>0.93</v>
      </c>
      <c r="AI10" s="37" t="str">
        <f t="shared" si="7"/>
        <v>0.51</v>
      </c>
      <c r="AK10" s="37" t="e">
        <f t="shared" si="8"/>
        <v>#DIV/0!</v>
      </c>
      <c r="AL10" s="37" t="e">
        <f t="shared" si="9"/>
        <v>#DIV/0!</v>
      </c>
      <c r="AN10" s="37">
        <f ca="1">IF(共通条件・結果!$AA$7="８地域",H10,IF(AO10="FALSE",H10,IF(L10="風除室",1/((1/H10)+0.1),0.5*H10+0.5*(1/((1/H10)+AO10)))))</f>
        <v>1.52</v>
      </c>
      <c r="AO10" s="39" t="str">
        <f t="shared" si="1"/>
        <v>FALSE</v>
      </c>
    </row>
    <row r="11" spans="2:41" s="37" customFormat="1" ht="21.95" customHeight="1">
      <c r="B11" s="218"/>
      <c r="C11" s="350"/>
      <c r="D11" s="318"/>
      <c r="E11" s="278"/>
      <c r="F11" s="278"/>
      <c r="G11" s="279"/>
      <c r="H11" s="254"/>
      <c r="I11" s="254"/>
      <c r="J11" s="254"/>
      <c r="K11" s="254"/>
      <c r="L11" s="227"/>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t="shared" si="8"/>
        <v>#DIV/0!</v>
      </c>
      <c r="AL11" s="37" t="e">
        <f t="shared" si="9"/>
        <v>#DIV/0!</v>
      </c>
      <c r="AN11" s="37">
        <f ca="1">IF(共通条件・結果!$AA$7="８地域",H11,IF(AO11="FALSE",H11,IF(L11="風除室",1/((1/H11)+0.1),0.5*H11+0.5*(1/((1/H11)+AO11)))))</f>
        <v>0</v>
      </c>
      <c r="AO11" s="39" t="str">
        <f t="shared" si="1"/>
        <v>FALSE</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0.01*(16+24*(2*R12+T12)/P12)</f>
        <v>#DIV/0!</v>
      </c>
      <c r="AL12" s="37" t="e">
        <f>0.01*(10+15*(2*R12+T12)/P12)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0.01*(16+24*(2*R13+T13)/P13)</f>
        <v>#DIV/0!</v>
      </c>
      <c r="AL13" s="37" t="e">
        <f>0.01*(10+15*(2*R13+T13)/P13)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t="shared" si="8"/>
        <v>#DIV/0!</v>
      </c>
      <c r="AL14" s="37" t="e">
        <f t="shared" si="9"/>
        <v>#DIV/0!</v>
      </c>
      <c r="AN14" s="37">
        <f ca="1">IF(共通条件・結果!$AA$7="８地域",H14,IF(AO14="FALSE",H14,IF(L14="風除室",1/((1/H14)+0.1),0.5*H14+0.5*(1/((1/H14)+AO14)))))</f>
        <v>0</v>
      </c>
      <c r="AO14" s="39" t="str">
        <f t="shared" si="1"/>
        <v>FALSE</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 ca="1">IF(共通条件・結果!$AA$7="８地域",H19,IF(AO19="FALSE",H19,IF(L19="風除室",1/((1/H19)+0.1),0.5*H19+0.5*(1/((1/H19)+AO19)))))</f>
        <v>#DIV/0!</v>
      </c>
      <c r="AO19" s="39" t="b">
        <f t="shared" si="1"/>
        <v>0</v>
      </c>
    </row>
    <row r="20" spans="2:41" s="37" customFormat="1" ht="21.95" customHeight="1" thickBot="1">
      <c r="B20" s="197" t="s">
        <v>120</v>
      </c>
      <c r="C20" s="198"/>
      <c r="D20" s="198"/>
      <c r="E20" s="198"/>
      <c r="F20" s="198"/>
      <c r="G20" s="198"/>
      <c r="H20" s="198"/>
      <c r="I20" s="198"/>
      <c r="J20" s="198"/>
      <c r="K20" s="198"/>
      <c r="L20" s="198"/>
      <c r="M20" s="198"/>
      <c r="N20" s="198"/>
      <c r="O20" s="198"/>
      <c r="P20" s="198"/>
      <c r="Q20" s="198"/>
      <c r="R20" s="198"/>
      <c r="S20" s="198"/>
      <c r="T20" s="198"/>
      <c r="U20" s="198"/>
      <c r="V20" s="184">
        <f>SUM(V8:W19)</f>
        <v>0.6027042816</v>
      </c>
      <c r="W20" s="184"/>
      <c r="X20" s="184">
        <f>SUM(X8:Y19)</f>
        <v>0.37376627039999999</v>
      </c>
      <c r="Y20" s="184"/>
      <c r="Z20" s="184">
        <f>SUM(Z8:AA19)</f>
        <v>6.5469599999999994</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v>101</v>
      </c>
      <c r="K25" s="241"/>
      <c r="L25" s="241"/>
      <c r="M25" s="233"/>
      <c r="N25" s="194">
        <v>1.67</v>
      </c>
      <c r="O25" s="195"/>
      <c r="P25" s="195">
        <v>2.2349999999999999</v>
      </c>
      <c r="Q25" s="221"/>
      <c r="R25" s="226">
        <v>2.33</v>
      </c>
      <c r="S25" s="226"/>
      <c r="T25" s="212"/>
      <c r="U25" s="212"/>
      <c r="V25" s="172">
        <f>IF(N25="","",N25*P25*R25*0.034*$V$4)</f>
        <v>0.151390560768</v>
      </c>
      <c r="W25" s="172"/>
      <c r="X25" s="172">
        <f>IF(N25="","",IF(ISERROR(N25*P25*R25*0.034*$X$4),"-",N25*P25*R25*0.034*$X$4))</f>
        <v>0.17120143493099998</v>
      </c>
      <c r="Y25" s="172"/>
      <c r="Z25" s="172">
        <f>IF(N25="","",N25*P25*AN25)</f>
        <v>8.6966085</v>
      </c>
      <c r="AA25" s="173"/>
      <c r="AN25" s="37">
        <f ca="1">IF(共通条件・結果!$AA$7="８地域",R25,IF(AO25="FALSE",R25,IF(T25="風除室",1/((1/R25)+0.1),0.5*R25+0.5*(1/((1/R25)+AO25)))))</f>
        <v>2.33</v>
      </c>
      <c r="AO25" s="39" t="str">
        <f>IF(T25="","FALSE",IF(T25="雨戸",0.1,IF(T25="ｼｬｯﾀｰ",0.1,IF(T25="障子",0.18,IF(T25="風除室",0.1)))))</f>
        <v>FALSE</v>
      </c>
    </row>
    <row r="26" spans="2:41" s="37" customFormat="1" ht="21.95" customHeight="1">
      <c r="C26" s="41"/>
      <c r="D26" s="41"/>
      <c r="E26" s="41"/>
      <c r="F26" s="41"/>
      <c r="G26" s="41"/>
      <c r="H26" s="41"/>
      <c r="I26" s="41"/>
      <c r="J26" s="218">
        <v>102</v>
      </c>
      <c r="K26" s="219"/>
      <c r="L26" s="219"/>
      <c r="M26" s="220"/>
      <c r="N26" s="192">
        <v>0.78</v>
      </c>
      <c r="O26" s="216"/>
      <c r="P26" s="215">
        <v>2.2349999999999999</v>
      </c>
      <c r="Q26" s="193"/>
      <c r="R26" s="192">
        <v>2.33</v>
      </c>
      <c r="S26" s="193"/>
      <c r="T26" s="213"/>
      <c r="U26" s="214"/>
      <c r="V26" s="176">
        <f>IF(N26="","",N26*P26*R26*0.034*$V$4)</f>
        <v>7.0709363711999998E-2</v>
      </c>
      <c r="W26" s="177"/>
      <c r="X26" s="176">
        <f>IF(N26="","",IF(ISERROR(N26*P26*R26*0.034*$X$4),"-",N26*P26*R26*0.034*$X$4))</f>
        <v>7.9962346853999999E-2</v>
      </c>
      <c r="Y26" s="177"/>
      <c r="Z26" s="176">
        <f>IF(N26="","",N26*P26*AN26)</f>
        <v>4.0618889999999999</v>
      </c>
      <c r="AA26" s="178"/>
      <c r="AN26" s="37">
        <f ca="1">IF(共通条件・結果!$AA$7="８地域",R26,IF(AO26="FALSE",R26,IF(T26="風除室",1/((1/R26)+0.1),0.5*R26+0.5*(1/((1/R26)+AO26)))))</f>
        <v>2.33</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144</v>
      </c>
      <c r="K28" s="198"/>
      <c r="L28" s="198"/>
      <c r="M28" s="198"/>
      <c r="N28" s="198"/>
      <c r="O28" s="198"/>
      <c r="P28" s="198"/>
      <c r="Q28" s="198"/>
      <c r="R28" s="198"/>
      <c r="S28" s="198"/>
      <c r="T28" s="198"/>
      <c r="U28" s="231"/>
      <c r="V28" s="184">
        <f>SUM(V25:W27)</f>
        <v>0.22209992447999999</v>
      </c>
      <c r="W28" s="184"/>
      <c r="X28" s="184">
        <f>SUM(X25:Y27)</f>
        <v>0.25116378178499998</v>
      </c>
      <c r="Y28" s="184"/>
      <c r="Z28" s="184">
        <f>SUM(Z25:AA27)</f>
        <v>12.758497500000001</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t="s">
        <v>243</v>
      </c>
      <c r="K33" s="233"/>
      <c r="L33" s="246">
        <v>44.608199999999997</v>
      </c>
      <c r="M33" s="247"/>
      <c r="N33" s="246"/>
      <c r="O33" s="247"/>
      <c r="P33" s="244">
        <f>IF(L33="","",L33-N33)</f>
        <v>44.608199999999997</v>
      </c>
      <c r="Q33" s="245"/>
      <c r="R33" s="226">
        <v>0.47799999999999998</v>
      </c>
      <c r="S33" s="226"/>
      <c r="T33" s="230"/>
      <c r="U33" s="230"/>
      <c r="V33" s="174">
        <f>IF(P33="","",IF(AD33=TRUE,0,P33*R33*0.034*$V$4))</f>
        <v>0.37118590279680003</v>
      </c>
      <c r="W33" s="174"/>
      <c r="X33" s="176">
        <f>IF(P33="","",IF(ISERROR(P33*R33*0.034*$X$4),"-",IF(AD33=TRUE,0,P33*R33*0.034*$X$4)))</f>
        <v>0.41975905804559999</v>
      </c>
      <c r="Y33" s="177"/>
      <c r="Z33" s="172">
        <f>IF(R33="","",IF(AD33=TRUE,0.7*R33*P33,R33*P33))</f>
        <v>21.322719599999999</v>
      </c>
      <c r="AA33" s="173"/>
      <c r="AD33" s="40" t="b">
        <v>0</v>
      </c>
      <c r="AE33" s="40">
        <f>IF(AD33=TRUE,0.7,1)</f>
        <v>1</v>
      </c>
      <c r="AF33" s="40" t="str">
        <f>IF(AD33=TRUE,0,"セル")</f>
        <v>セル</v>
      </c>
    </row>
    <row r="34" spans="2:32" s="37" customFormat="1" ht="21.95" customHeight="1">
      <c r="C34" s="41"/>
      <c r="D34" s="41"/>
      <c r="E34" s="41"/>
      <c r="F34" s="41"/>
      <c r="G34" s="41"/>
      <c r="H34" s="41"/>
      <c r="I34" s="41"/>
      <c r="J34" s="218" t="s">
        <v>241</v>
      </c>
      <c r="K34" s="220"/>
      <c r="L34" s="192">
        <v>3.7909999999999999</v>
      </c>
      <c r="M34" s="193"/>
      <c r="N34" s="192"/>
      <c r="O34" s="193"/>
      <c r="P34" s="242">
        <f>IF(L34="","",L34-N34)</f>
        <v>3.7909999999999999</v>
      </c>
      <c r="Q34" s="243"/>
      <c r="R34" s="192">
        <v>0.47799999999999998</v>
      </c>
      <c r="S34" s="193"/>
      <c r="T34" s="228"/>
      <c r="U34" s="229"/>
      <c r="V34" s="176">
        <f>IF(P34="","",IF(AD34=TRUE,0,P34*R34*0.034*$V$4))</f>
        <v>3.1545001984000003E-2</v>
      </c>
      <c r="W34" s="177"/>
      <c r="X34" s="176">
        <f>IF(P34="","",IF(ISERROR(P34*R34*0.034*$X$4),"-",IF(AD34=TRUE,0,P34*R34*0.034*$X$4)))</f>
        <v>3.5672961227999997E-2</v>
      </c>
      <c r="Y34" s="177"/>
      <c r="Z34" s="176">
        <f>IF(R34="","",IF(AD34=TRUE,0.7*R34*P34,R34*P34))</f>
        <v>1.812098</v>
      </c>
      <c r="AA34" s="178"/>
      <c r="AD34" s="40" t="b">
        <v>0</v>
      </c>
      <c r="AE34" s="40">
        <f>IF(AD34=TRUE,0.7,1)</f>
        <v>1</v>
      </c>
      <c r="AF34" s="40" t="str">
        <f>IF(AD34=TRUE,0,"セル")</f>
        <v>セル</v>
      </c>
    </row>
    <row r="35" spans="2:32" s="37" customFormat="1" ht="21.95" customHeight="1">
      <c r="C35" s="41"/>
      <c r="D35" s="41"/>
      <c r="E35" s="41"/>
      <c r="F35" s="41"/>
      <c r="G35" s="41"/>
      <c r="H35" s="41"/>
      <c r="I35" s="41"/>
      <c r="J35" s="218" t="s">
        <v>242</v>
      </c>
      <c r="K35" s="220"/>
      <c r="L35" s="192">
        <v>1.64</v>
      </c>
      <c r="M35" s="193"/>
      <c r="N35" s="192"/>
      <c r="O35" s="193"/>
      <c r="P35" s="242">
        <f>IF(L35="","",L35-N35)</f>
        <v>1.64</v>
      </c>
      <c r="Q35" s="243"/>
      <c r="R35" s="192">
        <v>0.47799999999999998</v>
      </c>
      <c r="S35" s="193"/>
      <c r="T35" s="228"/>
      <c r="U35" s="229"/>
      <c r="V35" s="176">
        <f>IF(P35="","",IF(AD35=TRUE,0,P35*R35*0.034*$V$4))</f>
        <v>1.3646479360000002E-2</v>
      </c>
      <c r="W35" s="177"/>
      <c r="X35" s="176">
        <f>IF(P35="","",IF(ISERROR(P35*R35*0.034*$X$4),"-",IF(AD35=TRUE,0,P35*R35*0.034*$X$4)))</f>
        <v>1.543224912E-2</v>
      </c>
      <c r="Y35" s="177"/>
      <c r="Z35" s="176">
        <f>IF(R35="","",IF(AD35=TRUE,0.7*R35*P35,R35*P35))</f>
        <v>0.78391999999999995</v>
      </c>
      <c r="AA35" s="178"/>
      <c r="AD35" s="40" t="b">
        <v>0</v>
      </c>
      <c r="AE35" s="40">
        <f>IF(AD35=TRUE,0.7,1)</f>
        <v>1</v>
      </c>
      <c r="AF35" s="40" t="str">
        <f>IF(AD35=TRUE,0,"セル")</f>
        <v>セル</v>
      </c>
    </row>
    <row r="36" spans="2:32" s="37" customFormat="1" ht="21.95" customHeight="1">
      <c r="C36" s="41"/>
      <c r="D36" s="41"/>
      <c r="E36" s="41"/>
      <c r="F36" s="41"/>
      <c r="G36" s="41"/>
      <c r="H36" s="41"/>
      <c r="I36" s="41"/>
      <c r="J36" s="218" t="s">
        <v>240</v>
      </c>
      <c r="K36" s="220"/>
      <c r="L36" s="192">
        <v>3.4580000000000002</v>
      </c>
      <c r="M36" s="193"/>
      <c r="N36" s="192"/>
      <c r="O36" s="193"/>
      <c r="P36" s="242">
        <f>IF(L36="","",L36-N36)</f>
        <v>3.4580000000000002</v>
      </c>
      <c r="Q36" s="243"/>
      <c r="R36" s="254">
        <v>0.46</v>
      </c>
      <c r="S36" s="254"/>
      <c r="T36" s="253"/>
      <c r="U36" s="253"/>
      <c r="V36" s="174">
        <f>IF(P36="","",IF(AD36=TRUE,0,P36*R36*0.034*$V$4))</f>
        <v>2.7690557440000003E-2</v>
      </c>
      <c r="W36" s="174"/>
      <c r="X36" s="176">
        <f>IF(P36="","",IF(ISERROR(P36*R36*0.034*$X$4),"-",IF(AD36=TRUE,0,P36*R36*0.034*$X$4)))</f>
        <v>3.1314126480000003E-2</v>
      </c>
      <c r="Y36" s="177"/>
      <c r="Z36" s="174">
        <f>IF(R36="","",IF(AD36=TRUE,0.7*R36*P36,R36*P36))</f>
        <v>1.5906800000000001</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121</v>
      </c>
      <c r="K38" s="198"/>
      <c r="L38" s="198"/>
      <c r="M38" s="198"/>
      <c r="N38" s="198"/>
      <c r="O38" s="198"/>
      <c r="P38" s="198"/>
      <c r="Q38" s="198"/>
      <c r="R38" s="198"/>
      <c r="S38" s="198"/>
      <c r="T38" s="198"/>
      <c r="U38" s="231"/>
      <c r="V38" s="184">
        <f>SUM(V33:W37)</f>
        <v>0.44406794158080004</v>
      </c>
      <c r="W38" s="184"/>
      <c r="X38" s="184">
        <f>SUM(X33:Y37)</f>
        <v>0.50217839487360005</v>
      </c>
      <c r="Y38" s="184"/>
      <c r="Z38" s="184">
        <f>SUM(Z33:AA37)</f>
        <v>25.509417599999995</v>
      </c>
      <c r="AA38" s="189"/>
    </row>
    <row r="39" spans="2:32" s="37" customFormat="1" ht="9.9499999999999993" customHeight="1"/>
    <row r="40" spans="2:32" s="37" customFormat="1" ht="21.95" customHeight="1" thickBot="1">
      <c r="B40" s="38" t="s">
        <v>122</v>
      </c>
    </row>
    <row r="41" spans="2:32" s="37" customFormat="1" ht="21.95" customHeight="1">
      <c r="B41" s="280" t="s">
        <v>103</v>
      </c>
      <c r="C41" s="281"/>
      <c r="D41" s="273" t="s">
        <v>56</v>
      </c>
      <c r="E41" s="274"/>
      <c r="F41" s="274"/>
      <c r="G41" s="274"/>
      <c r="H41" s="274"/>
      <c r="I41" s="274"/>
      <c r="J41" s="275"/>
      <c r="K41" s="42"/>
      <c r="L41" s="276">
        <f>Q41+U41+Y41</f>
        <v>62.928449999999991</v>
      </c>
      <c r="M41" s="276"/>
      <c r="N41" s="276"/>
      <c r="O41" s="42" t="s">
        <v>24</v>
      </c>
      <c r="P41" s="43" t="s">
        <v>23</v>
      </c>
      <c r="Q41" s="288">
        <f>D8*F8+D9*F9+D10*F10+D11*F11+D12*F12+D13*F13+D14*F14+D15*F15+D16*F16+D17*F17+D18*F18+D19*F19</f>
        <v>3.9554999999999998</v>
      </c>
      <c r="R41" s="288"/>
      <c r="S41" s="44" t="s">
        <v>25</v>
      </c>
      <c r="T41" s="44" t="s">
        <v>22</v>
      </c>
      <c r="U41" s="289">
        <f>N25*P25+N26*P26+N27*P27</f>
        <v>5.4757499999999997</v>
      </c>
      <c r="V41" s="289"/>
      <c r="W41" s="44" t="s">
        <v>25</v>
      </c>
      <c r="X41" s="44" t="s">
        <v>1</v>
      </c>
      <c r="Y41" s="268">
        <f>SUM(P33:Q37)</f>
        <v>53.497199999999992</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1.2688721476608</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1.1271084470586001</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44.814875099999995</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Y41:Z41"/>
    <mergeCell ref="U41:V41"/>
    <mergeCell ref="B41:C44"/>
    <mergeCell ref="D41:J41"/>
    <mergeCell ref="L41:N41"/>
    <mergeCell ref="Q41:R41"/>
    <mergeCell ref="D43:J43"/>
    <mergeCell ref="D44:J44"/>
    <mergeCell ref="D42:J42"/>
    <mergeCell ref="J33:K33"/>
    <mergeCell ref="J34:K34"/>
    <mergeCell ref="L33:M33"/>
    <mergeCell ref="R31:S32"/>
    <mergeCell ref="L34:M34"/>
    <mergeCell ref="N31:O32"/>
    <mergeCell ref="X38:Y38"/>
    <mergeCell ref="V31:W32"/>
    <mergeCell ref="V33:W33"/>
    <mergeCell ref="V35:W35"/>
    <mergeCell ref="V36:W36"/>
    <mergeCell ref="W44:Y44"/>
    <mergeCell ref="V34:W34"/>
    <mergeCell ref="V38:W38"/>
    <mergeCell ref="W43:Y43"/>
    <mergeCell ref="W42:Y42"/>
    <mergeCell ref="R35:S35"/>
    <mergeCell ref="P36:Q36"/>
    <mergeCell ref="R36:S36"/>
    <mergeCell ref="P35:Q35"/>
    <mergeCell ref="T35:U35"/>
    <mergeCell ref="T36:U36"/>
    <mergeCell ref="N34:O34"/>
    <mergeCell ref="N33:O33"/>
    <mergeCell ref="Z34:AA34"/>
    <mergeCell ref="Z33:AA33"/>
    <mergeCell ref="X33:Y33"/>
    <mergeCell ref="T33:U33"/>
    <mergeCell ref="X34:Y34"/>
    <mergeCell ref="T34:U34"/>
    <mergeCell ref="R33:S33"/>
    <mergeCell ref="R34:S34"/>
    <mergeCell ref="P34:Q34"/>
    <mergeCell ref="P33:Q33"/>
    <mergeCell ref="Z38:AA38"/>
    <mergeCell ref="N36:O36"/>
    <mergeCell ref="Z35:AA35"/>
    <mergeCell ref="V37:W37"/>
    <mergeCell ref="X37:Y37"/>
    <mergeCell ref="X35:Y35"/>
    <mergeCell ref="X36:Y36"/>
    <mergeCell ref="Z37:AA37"/>
    <mergeCell ref="J36:K36"/>
    <mergeCell ref="J35:K35"/>
    <mergeCell ref="J38:U38"/>
    <mergeCell ref="J37:K37"/>
    <mergeCell ref="R37:S37"/>
    <mergeCell ref="L37:M37"/>
    <mergeCell ref="P37:Q37"/>
    <mergeCell ref="N37:O37"/>
    <mergeCell ref="N35:O35"/>
    <mergeCell ref="T37:U37"/>
    <mergeCell ref="J31:K32"/>
    <mergeCell ref="L31:M32"/>
    <mergeCell ref="P31:Q32"/>
    <mergeCell ref="J27:M27"/>
    <mergeCell ref="Z36:AA36"/>
    <mergeCell ref="Z25:AA25"/>
    <mergeCell ref="Z28:AA28"/>
    <mergeCell ref="Z27:AA27"/>
    <mergeCell ref="L36:M36"/>
    <mergeCell ref="L35:M35"/>
    <mergeCell ref="Z31:AA32"/>
    <mergeCell ref="V25:W25"/>
    <mergeCell ref="X25:Y25"/>
    <mergeCell ref="Z26:AA26"/>
    <mergeCell ref="V26:W26"/>
    <mergeCell ref="X28:Y28"/>
    <mergeCell ref="V28:W28"/>
    <mergeCell ref="V27:W27"/>
    <mergeCell ref="X27:Y27"/>
    <mergeCell ref="X31:Y32"/>
    <mergeCell ref="T27:U27"/>
    <mergeCell ref="N25:O25"/>
    <mergeCell ref="R26:S26"/>
    <mergeCell ref="N27:O27"/>
    <mergeCell ref="T31:U32"/>
    <mergeCell ref="X26:Y26"/>
    <mergeCell ref="J28:U28"/>
    <mergeCell ref="J25:M25"/>
    <mergeCell ref="P27:Q27"/>
    <mergeCell ref="R27:S27"/>
    <mergeCell ref="P25:Q25"/>
    <mergeCell ref="T25:U25"/>
    <mergeCell ref="N26:O26"/>
    <mergeCell ref="P26:Q26"/>
    <mergeCell ref="J26:M26"/>
    <mergeCell ref="B19:C19"/>
    <mergeCell ref="D19:E19"/>
    <mergeCell ref="N24:O24"/>
    <mergeCell ref="P24:Q24"/>
    <mergeCell ref="L19:M19"/>
    <mergeCell ref="J19:K19"/>
    <mergeCell ref="F19:G19"/>
    <mergeCell ref="H19:I19"/>
    <mergeCell ref="X20:Y20"/>
    <mergeCell ref="B20:U20"/>
    <mergeCell ref="V20:W20"/>
    <mergeCell ref="J23:M24"/>
    <mergeCell ref="T26:U26"/>
    <mergeCell ref="R25:S25"/>
    <mergeCell ref="T23:U24"/>
    <mergeCell ref="V23:W24"/>
    <mergeCell ref="X23:Y24"/>
    <mergeCell ref="R23:S24"/>
    <mergeCell ref="Z23:AA24"/>
    <mergeCell ref="Z20:AA20"/>
    <mergeCell ref="T19:U19"/>
    <mergeCell ref="P19:Q19"/>
    <mergeCell ref="R19:S19"/>
    <mergeCell ref="AN23:AO23"/>
    <mergeCell ref="AN21:AO21"/>
    <mergeCell ref="Z19:AA19"/>
    <mergeCell ref="N23:Q23"/>
    <mergeCell ref="N19:O19"/>
    <mergeCell ref="Z18:AA18"/>
    <mergeCell ref="X18:Y18"/>
    <mergeCell ref="X19:Y19"/>
    <mergeCell ref="R18:S18"/>
    <mergeCell ref="V18:W18"/>
    <mergeCell ref="T18:U18"/>
    <mergeCell ref="V19:W19"/>
    <mergeCell ref="T17:U17"/>
    <mergeCell ref="V16:W16"/>
    <mergeCell ref="T15:U15"/>
    <mergeCell ref="R16:S16"/>
    <mergeCell ref="D17:E17"/>
    <mergeCell ref="B17:C17"/>
    <mergeCell ref="J17:K17"/>
    <mergeCell ref="H17:I17"/>
    <mergeCell ref="F17:G17"/>
    <mergeCell ref="P18:Q18"/>
    <mergeCell ref="B18:C18"/>
    <mergeCell ref="D18:E18"/>
    <mergeCell ref="N18:O18"/>
    <mergeCell ref="H18:I18"/>
    <mergeCell ref="L18:M18"/>
    <mergeCell ref="J18:K18"/>
    <mergeCell ref="F18:G18"/>
    <mergeCell ref="B14:C14"/>
    <mergeCell ref="B15:C15"/>
    <mergeCell ref="B16:C16"/>
    <mergeCell ref="D15:E15"/>
    <mergeCell ref="F14:G14"/>
    <mergeCell ref="F16:G16"/>
    <mergeCell ref="F15:G15"/>
    <mergeCell ref="D13:E13"/>
    <mergeCell ref="V12:W12"/>
    <mergeCell ref="P13:Q13"/>
    <mergeCell ref="T13:U13"/>
    <mergeCell ref="R12:S12"/>
    <mergeCell ref="L17:M17"/>
    <mergeCell ref="P17:Q17"/>
    <mergeCell ref="V15:W15"/>
    <mergeCell ref="T16:U16"/>
    <mergeCell ref="V17:W17"/>
    <mergeCell ref="P16:Q16"/>
    <mergeCell ref="V14:W14"/>
    <mergeCell ref="L16:M16"/>
    <mergeCell ref="L15:M15"/>
    <mergeCell ref="B12:C12"/>
    <mergeCell ref="F12:G12"/>
    <mergeCell ref="P14:Q14"/>
    <mergeCell ref="D14:E14"/>
    <mergeCell ref="N12:O12"/>
    <mergeCell ref="P12:Q12"/>
    <mergeCell ref="P11:Q11"/>
    <mergeCell ref="H12:I12"/>
    <mergeCell ref="D12:E12"/>
    <mergeCell ref="P15:Q15"/>
    <mergeCell ref="D16:E16"/>
    <mergeCell ref="H16:I16"/>
    <mergeCell ref="H13:I13"/>
    <mergeCell ref="H15:I15"/>
    <mergeCell ref="H14:I14"/>
    <mergeCell ref="J16:K16"/>
    <mergeCell ref="L14:M14"/>
    <mergeCell ref="V11:W11"/>
    <mergeCell ref="L11:M11"/>
    <mergeCell ref="H11:I11"/>
    <mergeCell ref="J15:K15"/>
    <mergeCell ref="T14:U14"/>
    <mergeCell ref="V13:W13"/>
    <mergeCell ref="R15:S15"/>
    <mergeCell ref="R14:S14"/>
    <mergeCell ref="R13:S13"/>
    <mergeCell ref="P9:Q9"/>
    <mergeCell ref="N16:O16"/>
    <mergeCell ref="F13:G13"/>
    <mergeCell ref="N13:O13"/>
    <mergeCell ref="L12:M12"/>
    <mergeCell ref="L13:M13"/>
    <mergeCell ref="J12:K12"/>
    <mergeCell ref="J13:K13"/>
    <mergeCell ref="J14:K14"/>
    <mergeCell ref="N14:O14"/>
    <mergeCell ref="N9:O9"/>
    <mergeCell ref="B9:C9"/>
    <mergeCell ref="D10:E10"/>
    <mergeCell ref="B10:C10"/>
    <mergeCell ref="H10:I10"/>
    <mergeCell ref="H9:I9"/>
    <mergeCell ref="L9:M9"/>
    <mergeCell ref="N10:O10"/>
    <mergeCell ref="B13:C13"/>
    <mergeCell ref="AK6:AL6"/>
    <mergeCell ref="AD6:AE6"/>
    <mergeCell ref="AN6:AO6"/>
    <mergeCell ref="T12:U12"/>
    <mergeCell ref="T11:U11"/>
    <mergeCell ref="T8:U8"/>
    <mergeCell ref="T10:U10"/>
    <mergeCell ref="Z8:AA8"/>
    <mergeCell ref="Z5:AA7"/>
    <mergeCell ref="AH6:AI6"/>
    <mergeCell ref="Z9:AA9"/>
    <mergeCell ref="X9:Y9"/>
    <mergeCell ref="V9:W9"/>
    <mergeCell ref="R17:S17"/>
    <mergeCell ref="T7:U7"/>
    <mergeCell ref="V5:W7"/>
    <mergeCell ref="X14:Y14"/>
    <mergeCell ref="X11:Y11"/>
    <mergeCell ref="Z11:AA11"/>
    <mergeCell ref="Z10:AA10"/>
    <mergeCell ref="Z15:AA15"/>
    <mergeCell ref="Z14:AA14"/>
    <mergeCell ref="N17:O17"/>
    <mergeCell ref="R9:S9"/>
    <mergeCell ref="R8:S8"/>
    <mergeCell ref="Z12:AA12"/>
    <mergeCell ref="X13:Y13"/>
    <mergeCell ref="X12:Y12"/>
    <mergeCell ref="Z13:AA13"/>
    <mergeCell ref="N15:O15"/>
    <mergeCell ref="R11:S11"/>
    <mergeCell ref="R7:S7"/>
    <mergeCell ref="X17:Y17"/>
    <mergeCell ref="Z17:AA17"/>
    <mergeCell ref="X15:Y15"/>
    <mergeCell ref="X16:Y16"/>
    <mergeCell ref="Z16:AA16"/>
    <mergeCell ref="X8:Y8"/>
    <mergeCell ref="X10:Y10"/>
    <mergeCell ref="X5:Y7"/>
    <mergeCell ref="J11:K11"/>
    <mergeCell ref="N11:O11"/>
    <mergeCell ref="B5:C7"/>
    <mergeCell ref="J5:K7"/>
    <mergeCell ref="L5:M7"/>
    <mergeCell ref="J8:K8"/>
    <mergeCell ref="B8:C8"/>
    <mergeCell ref="D8:E8"/>
    <mergeCell ref="L10:M10"/>
    <mergeCell ref="B2:AA2"/>
    <mergeCell ref="R4:U4"/>
    <mergeCell ref="V4:W4"/>
    <mergeCell ref="X4:Y4"/>
    <mergeCell ref="B11:C11"/>
    <mergeCell ref="F11:G11"/>
    <mergeCell ref="D11:E11"/>
    <mergeCell ref="D9:E9"/>
    <mergeCell ref="F9:G9"/>
    <mergeCell ref="F10:G10"/>
    <mergeCell ref="F8:G8"/>
    <mergeCell ref="V8:W8"/>
    <mergeCell ref="N8:O8"/>
    <mergeCell ref="L8:M8"/>
    <mergeCell ref="J10:K10"/>
    <mergeCell ref="J9:K9"/>
    <mergeCell ref="V10:W10"/>
    <mergeCell ref="R10:S10"/>
    <mergeCell ref="P10:Q10"/>
    <mergeCell ref="T9:U9"/>
    <mergeCell ref="H8:I8"/>
    <mergeCell ref="D6:E7"/>
    <mergeCell ref="F6:G7"/>
    <mergeCell ref="H5:I7"/>
    <mergeCell ref="P8:Q8"/>
    <mergeCell ref="D5:G5"/>
    <mergeCell ref="N6:O7"/>
    <mergeCell ref="P7:Q7"/>
    <mergeCell ref="N5:U5"/>
    <mergeCell ref="P6:U6"/>
  </mergeCells>
  <phoneticPr fontId="2"/>
  <conditionalFormatting sqref="V20:W20">
    <cfRule type="expression" dxfId="199" priority="51" stopIfTrue="1">
      <formula>$V$20=0</formula>
    </cfRule>
  </conditionalFormatting>
  <conditionalFormatting sqref="X20:Y20">
    <cfRule type="expression" dxfId="198" priority="50" stopIfTrue="1">
      <formula>$X$20=0</formula>
    </cfRule>
  </conditionalFormatting>
  <conditionalFormatting sqref="Z20:AA20">
    <cfRule type="expression" dxfId="197" priority="49" stopIfTrue="1">
      <formula>$Z$20=0</formula>
    </cfRule>
  </conditionalFormatting>
  <conditionalFormatting sqref="V28:W28">
    <cfRule type="expression" dxfId="196" priority="48" stopIfTrue="1">
      <formula>$V$28:$W$28=0</formula>
    </cfRule>
  </conditionalFormatting>
  <conditionalFormatting sqref="V38:W38">
    <cfRule type="expression" dxfId="195" priority="47" stopIfTrue="1">
      <formula>$V$38:$W$38=0</formula>
    </cfRule>
  </conditionalFormatting>
  <conditionalFormatting sqref="Y41:Z41">
    <cfRule type="expression" dxfId="194" priority="46" stopIfTrue="1">
      <formula>$Y$41=0</formula>
    </cfRule>
  </conditionalFormatting>
  <conditionalFormatting sqref="Q41:R41">
    <cfRule type="expression" dxfId="193" priority="45" stopIfTrue="1">
      <formula>$Q$41=0</formula>
    </cfRule>
  </conditionalFormatting>
  <conditionalFormatting sqref="U41:V41">
    <cfRule type="expression" dxfId="192" priority="44" stopIfTrue="1">
      <formula>$U$41=0</formula>
    </cfRule>
  </conditionalFormatting>
  <conditionalFormatting sqref="L41:N41">
    <cfRule type="expression" dxfId="191" priority="43" stopIfTrue="1">
      <formula>$L$41=0</formula>
    </cfRule>
  </conditionalFormatting>
  <conditionalFormatting sqref="X8:Y8">
    <cfRule type="expression" dxfId="190" priority="41" stopIfTrue="1">
      <formula>#VALUE!</formula>
    </cfRule>
    <cfRule type="expression" dxfId="189" priority="42" stopIfTrue="1">
      <formula>#VALUE!</formula>
    </cfRule>
  </conditionalFormatting>
  <conditionalFormatting sqref="X19:Y19">
    <cfRule type="expression" dxfId="188" priority="40" stopIfTrue="1">
      <formula>#VALUE!</formula>
    </cfRule>
  </conditionalFormatting>
  <conditionalFormatting sqref="X8:Y8">
    <cfRule type="expression" dxfId="187" priority="28" stopIfTrue="1">
      <formula>#VALUE!</formula>
    </cfRule>
    <cfRule type="expression" dxfId="186" priority="29" stopIfTrue="1">
      <formula>#VALUE!</formula>
    </cfRule>
  </conditionalFormatting>
  <conditionalFormatting sqref="X19:Y19">
    <cfRule type="expression" dxfId="185" priority="27" stopIfTrue="1">
      <formula>#VALUE!</formula>
    </cfRule>
  </conditionalFormatting>
  <conditionalFormatting sqref="X28:Y28">
    <cfRule type="expression" dxfId="184" priority="26" stopIfTrue="1">
      <formula>$X$28:$Y$28=0</formula>
    </cfRule>
  </conditionalFormatting>
  <conditionalFormatting sqref="Z28:AA28">
    <cfRule type="expression" dxfId="183" priority="25" stopIfTrue="1">
      <formula>$Z$28:$AA$28=0</formula>
    </cfRule>
  </conditionalFormatting>
  <conditionalFormatting sqref="X38:Y38">
    <cfRule type="expression" dxfId="182" priority="24" stopIfTrue="1">
      <formula>$V$38:$W$38=0</formula>
    </cfRule>
  </conditionalFormatting>
  <conditionalFormatting sqref="Z38:AA38">
    <cfRule type="expression" dxfId="181" priority="23" stopIfTrue="1">
      <formula>$Z$38:$AA$38=0</formula>
    </cfRule>
  </conditionalFormatting>
  <conditionalFormatting sqref="P8:U8">
    <cfRule type="expression" dxfId="180" priority="12" stopIfTrue="1">
      <formula>$AG$8=TRUE</formula>
    </cfRule>
  </conditionalFormatting>
  <conditionalFormatting sqref="P15:U15">
    <cfRule type="expression" dxfId="179" priority="11" stopIfTrue="1">
      <formula>$AG$15=TRUE</formula>
    </cfRule>
  </conditionalFormatting>
  <conditionalFormatting sqref="P16:U16">
    <cfRule type="expression" dxfId="178" priority="10" stopIfTrue="1">
      <formula>$AG$16=TRUE</formula>
    </cfRule>
  </conditionalFormatting>
  <conditionalFormatting sqref="P17:U17">
    <cfRule type="expression" dxfId="177" priority="9" stopIfTrue="1">
      <formula>$AG$17=TRUE</formula>
    </cfRule>
  </conditionalFormatting>
  <conditionalFormatting sqref="P18:U18">
    <cfRule type="expression" dxfId="176" priority="8" stopIfTrue="1">
      <formula>$AG$18=TRUE</formula>
    </cfRule>
  </conditionalFormatting>
  <conditionalFormatting sqref="P19:U19">
    <cfRule type="expression" dxfId="175" priority="7" stopIfTrue="1">
      <formula>$AG$19=TRUE</formula>
    </cfRule>
  </conditionalFormatting>
  <conditionalFormatting sqref="P10:U10">
    <cfRule type="expression" dxfId="174" priority="6" stopIfTrue="1">
      <formula>$AG$10=TRUE</formula>
    </cfRule>
  </conditionalFormatting>
  <conditionalFormatting sqref="P11:U11">
    <cfRule type="expression" dxfId="173" priority="5" stopIfTrue="1">
      <formula>$AG$11=TRUE</formula>
    </cfRule>
  </conditionalFormatting>
  <conditionalFormatting sqref="P14:U14">
    <cfRule type="expression" dxfId="172" priority="4" stopIfTrue="1">
      <formula>$AG$14=TRUE</formula>
    </cfRule>
  </conditionalFormatting>
  <conditionalFormatting sqref="P9:U9">
    <cfRule type="expression" dxfId="171" priority="3" stopIfTrue="1">
      <formula>$AG$9=TRUE</formula>
    </cfRule>
  </conditionalFormatting>
  <conditionalFormatting sqref="P12:U12">
    <cfRule type="expression" dxfId="170" priority="2">
      <formula>$AG$12=TRUE</formula>
    </cfRule>
  </conditionalFormatting>
  <conditionalFormatting sqref="P13:U13">
    <cfRule type="expression" dxfId="169"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1.8 [H28]</oddHeader>
    <oddFooter>&amp;Cⓒ　2013 hyoukakyoukai.All right reserved</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Sheet6"/>
  <dimension ref="B1:AO106"/>
  <sheetViews>
    <sheetView showGridLines="0" view="pageBreakPreview" zoomScaleNormal="100" zoomScaleSheetLayoutView="100" workbookViewId="0">
      <selection activeCell="B8" sqref="B8:C8"/>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53">
        <f ca="1">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0.498</v>
      </c>
      <c r="W4" s="354"/>
      <c r="X4" s="355">
        <f ca="1">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0.83299999999999996</v>
      </c>
      <c r="Y4" s="356"/>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c r="C8" s="349"/>
      <c r="D8" s="194"/>
      <c r="E8" s="195"/>
      <c r="F8" s="195"/>
      <c r="G8" s="221"/>
      <c r="H8" s="226"/>
      <c r="I8" s="226"/>
      <c r="J8" s="226"/>
      <c r="K8" s="226"/>
      <c r="L8" s="199"/>
      <c r="M8" s="199"/>
      <c r="N8" s="305"/>
      <c r="O8" s="306"/>
      <c r="P8" s="307"/>
      <c r="Q8" s="308"/>
      <c r="R8" s="347"/>
      <c r="S8" s="348"/>
      <c r="T8" s="317"/>
      <c r="U8" s="307"/>
      <c r="V8" s="207" t="str">
        <f>IF(D8="","",AD8)</f>
        <v/>
      </c>
      <c r="W8" s="207"/>
      <c r="X8" s="207" t="str">
        <f t="shared" ref="X8:X19" si="0">IF(D8="","",IF(ISERROR(AE8),"-",AE8))</f>
        <v/>
      </c>
      <c r="Y8" s="207"/>
      <c r="Z8" s="207" t="str">
        <f>IF(D8="","",D8*F8*AN8)</f>
        <v/>
      </c>
      <c r="AA8" s="208"/>
      <c r="AD8" s="37" t="e">
        <f>D8*F8*J8*$V$4*AH8</f>
        <v>#VALUE!</v>
      </c>
      <c r="AE8" s="37" t="e">
        <f>D8*F8*J8*$X$4*AI8</f>
        <v>#VALUE!</v>
      </c>
      <c r="AG8" s="40" t="b">
        <v>0</v>
      </c>
      <c r="AH8" s="37" t="str">
        <f>IF(AG8=TRUE,"0.93",IF(ISERROR(AK8),"エラー",IF(AK8&gt;0.93,"0.93",AK8)))</f>
        <v>エラー</v>
      </c>
      <c r="AI8" s="37" t="str">
        <f>IF(AG8=TRUE,"0.51",IF(ISERROR(AL8),"エラー",IF(AL8&gt;0.72,"0.72",AL8)))</f>
        <v>エラー</v>
      </c>
      <c r="AK8" s="37" t="e">
        <f ca="1">IF(共通条件・結果!$AA$7="８（Ⅵ）",0.01*(16+19*(2*R8+T8)/P8),0.01*(16+24*(2*R8+T8)/P8))</f>
        <v>#DIV/0!</v>
      </c>
      <c r="AL8" s="37" t="e">
        <f ca="1">0.01*(5+20*(3*R8+T8)/P8)</f>
        <v>#DIV/0!</v>
      </c>
      <c r="AN8" s="37">
        <f ca="1">IF(共通条件・結果!$AA$7="８地域",H8,IF(AO8="FALSE",H8,IF(L8="風除室",1/((1/H8)+0.1),0.5*H8+0.5*(1/((1/H8)+AO8)))))</f>
        <v>0</v>
      </c>
      <c r="AO8" s="39" t="str">
        <f t="shared" ref="AO8:AO19" si="1">IF(L8="","FALSE",IF(L8="雨戸",0.1,IF(L8="ｼｬｯﾀｰ",0.1,IF(L8="障子",0.18,IF(L8="風除室",0.1)))))</f>
        <v>FALSE</v>
      </c>
    </row>
    <row r="9" spans="2:41" s="37" customFormat="1" ht="21.95" customHeight="1">
      <c r="B9" s="218"/>
      <c r="C9" s="350"/>
      <c r="D9" s="318"/>
      <c r="E9" s="278"/>
      <c r="F9" s="278"/>
      <c r="G9" s="279"/>
      <c r="H9" s="254"/>
      <c r="I9" s="254"/>
      <c r="J9" s="254"/>
      <c r="K9" s="254"/>
      <c r="L9" s="227" t="s">
        <v>65</v>
      </c>
      <c r="M9" s="227"/>
      <c r="N9" s="300"/>
      <c r="O9" s="301"/>
      <c r="P9" s="297"/>
      <c r="Q9" s="298"/>
      <c r="R9" s="302"/>
      <c r="S9" s="303"/>
      <c r="T9" s="296"/>
      <c r="U9" s="297"/>
      <c r="V9" s="174" t="str">
        <f t="shared" ref="V9:V19" si="2">IF(D9="","",AD9)</f>
        <v/>
      </c>
      <c r="W9" s="174"/>
      <c r="X9" s="174" t="str">
        <f t="shared" si="0"/>
        <v/>
      </c>
      <c r="Y9" s="174"/>
      <c r="Z9" s="174" t="str">
        <f t="shared" ref="Z9:Z19" si="3">IF(D9="","",D9*F9*AN9)</f>
        <v/>
      </c>
      <c r="AA9" s="175"/>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ca="1">IF(共通条件・結果!$AA$7="８（Ⅵ）",0.01*(16+19*(2*R9+T9)/P9),0.01*(16+24*(2*R9+T9)/P9))</f>
        <v>#DIV/0!</v>
      </c>
      <c r="AL9" s="37" t="e">
        <f t="shared" ref="AL9:AL19" si="8">0.01*(5+20*(3*R9+T9)/P9)</f>
        <v>#DIV/0!</v>
      </c>
      <c r="AN9" s="37" t="e">
        <f ca="1">IF(共通条件・結果!$AA$7="８地域",H9,IF(AO9="FALSE",H9,IF(L9="風除室",1/((1/H9)+0.1),0.5*H9+0.5*(1/((1/H9)+AO9)))))</f>
        <v>#DIV/0!</v>
      </c>
      <c r="AO9" s="39" t="b">
        <f t="shared" si="1"/>
        <v>0</v>
      </c>
    </row>
    <row r="10" spans="2:41" s="37" customFormat="1" ht="21.95" customHeight="1">
      <c r="B10" s="218"/>
      <c r="C10" s="350"/>
      <c r="D10" s="318"/>
      <c r="E10" s="278"/>
      <c r="F10" s="278"/>
      <c r="G10" s="279"/>
      <c r="H10" s="254"/>
      <c r="I10" s="254"/>
      <c r="J10" s="254"/>
      <c r="K10" s="254"/>
      <c r="L10" s="227" t="s">
        <v>65</v>
      </c>
      <c r="M10" s="227"/>
      <c r="N10" s="300"/>
      <c r="O10" s="301"/>
      <c r="P10" s="298"/>
      <c r="Q10" s="299"/>
      <c r="R10" s="295"/>
      <c r="S10" s="299"/>
      <c r="T10" s="295"/>
      <c r="U10" s="296"/>
      <c r="V10" s="174" t="str">
        <f t="shared" si="2"/>
        <v/>
      </c>
      <c r="W10" s="174"/>
      <c r="X10" s="174" t="str">
        <f t="shared" si="0"/>
        <v/>
      </c>
      <c r="Y10" s="174"/>
      <c r="Z10" s="174" t="str">
        <f t="shared" si="3"/>
        <v/>
      </c>
      <c r="AA10" s="175"/>
      <c r="AD10" s="37" t="e">
        <f t="shared" si="4"/>
        <v>#VALUE!</v>
      </c>
      <c r="AE10" s="37" t="e">
        <f t="shared" si="5"/>
        <v>#VALUE!</v>
      </c>
      <c r="AG10" s="40" t="b">
        <v>0</v>
      </c>
      <c r="AH10" s="37" t="str">
        <f t="shared" si="6"/>
        <v>エラー</v>
      </c>
      <c r="AI10" s="37" t="str">
        <f t="shared" si="7"/>
        <v>エラー</v>
      </c>
      <c r="AK10" s="37" t="e">
        <f ca="1">IF(共通条件・結果!$AA$7="８（Ⅵ）",0.01*(16+19*(2*R10+T10)/P10),0.01*(16+24*(2*R10+T10)/P10))</f>
        <v>#DIV/0!</v>
      </c>
      <c r="AL10" s="37" t="e">
        <f t="shared" si="8"/>
        <v>#DIV/0!</v>
      </c>
      <c r="AN10" s="37" t="e">
        <f ca="1">IF(共通条件・結果!$AA$7="８地域",H10,IF(AO10="FALSE",H10,IF(L10="風除室",1/((1/H10)+0.1),0.5*H10+0.5*(1/((1/H10)+AO10)))))</f>
        <v>#DIV/0!</v>
      </c>
      <c r="AO10" s="39" t="b">
        <f t="shared" si="1"/>
        <v>0</v>
      </c>
    </row>
    <row r="11" spans="2:41" s="37" customFormat="1" ht="21.95" customHeight="1">
      <c r="B11" s="218"/>
      <c r="C11" s="350"/>
      <c r="D11" s="318"/>
      <c r="E11" s="278"/>
      <c r="F11" s="278"/>
      <c r="G11" s="279"/>
      <c r="H11" s="254"/>
      <c r="I11" s="254"/>
      <c r="J11" s="254"/>
      <c r="K11" s="254"/>
      <c r="L11" s="227" t="s">
        <v>65</v>
      </c>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ca="1">IF(共通条件・結果!$AA$7="８（Ⅵ）",0.01*(16+19*(2*R11+T11)/P11),0.01*(16+24*(2*R11+T11)/P11))</f>
        <v>#DIV/0!</v>
      </c>
      <c r="AL11" s="37" t="e">
        <f t="shared" si="8"/>
        <v>#DIV/0!</v>
      </c>
      <c r="AN11" s="37" t="e">
        <f ca="1">IF(共通条件・結果!$AA$7="８地域",H11,IF(AO11="FALSE",H11,IF(L11="風除室",1/((1/H11)+0.1),0.5*H11+0.5*(1/((1/H11)+AO11)))))</f>
        <v>#DIV/0!</v>
      </c>
      <c r="AO11" s="39" t="b">
        <f t="shared" si="1"/>
        <v>0</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 ca="1">IF(共通条件・結果!$AA$7="８（Ⅵ）",0.01*(16+19*(2*R12+T12)/P12),0.01*(16+24*(2*R12+T12)/P12))</f>
        <v>#DIV/0!</v>
      </c>
      <c r="AL12" s="37" t="e">
        <f ca="1">0.01*(5+20*(3*R12+T12)/P12)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 ca="1">IF(共通条件・結果!$AA$7="８（Ⅵ）",0.01*(16+19*(2*R13+T13)/P13),0.01*(16+24*(2*R13+T13)/P13))</f>
        <v>#DIV/0!</v>
      </c>
      <c r="AL13" s="37" t="e">
        <f ca="1">0.01*(5+20*(3*R13+T13)/P13)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ca="1">IF(共通条件・結果!$AA$7="８（Ⅵ）",0.01*(16+19*(2*R14+T14)/P14),0.01*(16+24*(2*R14+T14)/P14))</f>
        <v>#DIV/0!</v>
      </c>
      <c r="AL14" s="37" t="e">
        <f t="shared" si="8"/>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ca="1">IF(共通条件・結果!$AA$7="８（Ⅵ）",0.01*(16+19*(2*R15+T15)/P15),0.01*(16+24*(2*R15+T15)/P15))</f>
        <v>#DIV/0!</v>
      </c>
      <c r="AL15" s="37" t="e">
        <f t="shared" si="8"/>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ca="1">IF(共通条件・結果!$AA$7="８（Ⅵ）",0.01*(16+19*(2*R16+T16)/P16),0.01*(16+24*(2*R16+T16)/P16))</f>
        <v>#DIV/0!</v>
      </c>
      <c r="AL16" s="37" t="e">
        <f t="shared" si="8"/>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ca="1">IF(共通条件・結果!$AA$7="８（Ⅵ）",0.01*(16+19*(2*R17+T17)/P17),0.01*(16+24*(2*R17+T17)/P17))</f>
        <v>#DIV/0!</v>
      </c>
      <c r="AL17" s="37" t="e">
        <f t="shared" si="8"/>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ca="1">IF(共通条件・結果!$AA$7="８（Ⅵ）",0.01*(16+19*(2*R18+T18)/P18),0.01*(16+24*(2*R18+T18)/P18))</f>
        <v>#DIV/0!</v>
      </c>
      <c r="AL18" s="37" t="e">
        <f t="shared" si="8"/>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ca="1">IF(共通条件・結果!$AA$7="８（Ⅵ）",0.01*(16+19*(2*R19+T19)/P19),0.01*(16+24*(2*R19+T19)/P19))</f>
        <v>#DIV/0!</v>
      </c>
      <c r="AL19" s="37" t="e">
        <f t="shared" si="8"/>
        <v>#DIV/0!</v>
      </c>
      <c r="AN19" s="37" t="e">
        <f ca="1">IF(共通条件・結果!$AA$7="８地域",H19,IF(AO19="FALSE",H19,IF(L19="風除室",1/((1/H19)+0.1),0.5*H19+0.5*(1/((1/H19)+AO19)))))</f>
        <v>#DIV/0!</v>
      </c>
      <c r="AO19" s="39" t="b">
        <f t="shared" si="1"/>
        <v>0</v>
      </c>
    </row>
    <row r="20" spans="2:41" s="37" customFormat="1" ht="21.95" customHeight="1" thickBot="1">
      <c r="B20" s="197" t="s">
        <v>123</v>
      </c>
      <c r="C20" s="198"/>
      <c r="D20" s="198"/>
      <c r="E20" s="198"/>
      <c r="F20" s="198"/>
      <c r="G20" s="198"/>
      <c r="H20" s="198"/>
      <c r="I20" s="198"/>
      <c r="J20" s="198"/>
      <c r="K20" s="198"/>
      <c r="L20" s="198"/>
      <c r="M20" s="198"/>
      <c r="N20" s="198"/>
      <c r="O20" s="198"/>
      <c r="P20" s="198"/>
      <c r="Q20" s="198"/>
      <c r="R20" s="198"/>
      <c r="S20" s="198"/>
      <c r="T20" s="198"/>
      <c r="U20" s="198"/>
      <c r="V20" s="184">
        <f>SUM(V8:W19)</f>
        <v>0</v>
      </c>
      <c r="W20" s="184"/>
      <c r="X20" s="184">
        <f>SUM(X8:Y19)</f>
        <v>0</v>
      </c>
      <c r="Y20" s="184"/>
      <c r="Z20" s="184">
        <f>SUM(Z8:AA19)</f>
        <v>0</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145</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c r="K33" s="233"/>
      <c r="L33" s="246"/>
      <c r="M33" s="247"/>
      <c r="N33" s="246"/>
      <c r="O33" s="247"/>
      <c r="P33" s="244" t="str">
        <f>IF(L33="","",L33-N33)</f>
        <v/>
      </c>
      <c r="Q33" s="245"/>
      <c r="R33" s="357"/>
      <c r="S33" s="357"/>
      <c r="T33" s="230"/>
      <c r="U33" s="230"/>
      <c r="V33" s="174" t="str">
        <f>IF(P33="","",IF(AD33=TRUE,0,P33*R33*0.034*$V$4))</f>
        <v/>
      </c>
      <c r="W33" s="174"/>
      <c r="X33" s="176" t="str">
        <f>IF(P33="","",IF(ISERROR(P33*R33*0.034*$X$4),"-",IF(AD33=TRUE,0,P33*R33*0.034*$X$4)))</f>
        <v/>
      </c>
      <c r="Y33" s="177"/>
      <c r="Z33" s="172" t="str">
        <f>IF(R33="","",IF(AD33=TRUE,0.7*R33*P33,R33*P33))</f>
        <v/>
      </c>
      <c r="AA33" s="173"/>
      <c r="AD33" s="40" t="b">
        <v>0</v>
      </c>
      <c r="AE33" s="40">
        <f>IF(AD33=TRUE,0.7,1)</f>
        <v>1</v>
      </c>
      <c r="AF33" s="40" t="str">
        <f>IF(AD33=TRUE,0,"セル")</f>
        <v>セル</v>
      </c>
    </row>
    <row r="34" spans="2:32" s="37" customFormat="1" ht="21.95" customHeight="1">
      <c r="C34" s="41"/>
      <c r="D34" s="41"/>
      <c r="E34" s="41"/>
      <c r="F34" s="41"/>
      <c r="G34" s="41"/>
      <c r="H34" s="41"/>
      <c r="I34" s="41"/>
      <c r="J34" s="218"/>
      <c r="K34" s="220"/>
      <c r="L34" s="192"/>
      <c r="M34" s="193"/>
      <c r="N34" s="192"/>
      <c r="O34" s="193"/>
      <c r="P34" s="242" t="str">
        <f>IF(L34="","",L34-N34)</f>
        <v/>
      </c>
      <c r="Q34" s="243"/>
      <c r="R34" s="192"/>
      <c r="S34" s="193"/>
      <c r="T34" s="228"/>
      <c r="U34" s="229"/>
      <c r="V34" s="176" t="str">
        <f>IF(P34="","",IF(AD34=TRUE,0,P34*R34*0.034*$V$4))</f>
        <v/>
      </c>
      <c r="W34" s="177"/>
      <c r="X34" s="176" t="str">
        <f>IF(P34="","",IF(ISERROR(P34*R34*0.034*$X$4),"-",IF(AD34=TRUE,0,P34*R34*0.034*$X$4)))</f>
        <v/>
      </c>
      <c r="Y34" s="177"/>
      <c r="Z34" s="176" t="str">
        <f>IF(R34="","",IF(AD34=TRUE,0.7*R34*P34,R34*P34))</f>
        <v/>
      </c>
      <c r="AA34" s="178"/>
      <c r="AD34" s="40" t="b">
        <v>0</v>
      </c>
      <c r="AE34" s="40">
        <f>IF(AD34=TRUE,0.7,1)</f>
        <v>1</v>
      </c>
      <c r="AF34" s="40" t="str">
        <f>IF(AD34=TRUE,0,"セル")</f>
        <v>セル</v>
      </c>
    </row>
    <row r="35" spans="2:32" s="37" customFormat="1" ht="21.95" customHeight="1">
      <c r="C35" s="41"/>
      <c r="D35" s="41"/>
      <c r="E35" s="41"/>
      <c r="F35" s="41"/>
      <c r="G35" s="41"/>
      <c r="H35" s="41"/>
      <c r="I35" s="41"/>
      <c r="J35" s="218"/>
      <c r="K35" s="220"/>
      <c r="L35" s="192"/>
      <c r="M35" s="193"/>
      <c r="N35" s="192"/>
      <c r="O35" s="193"/>
      <c r="P35" s="242" t="str">
        <f>IF(L35="","",L35-N35)</f>
        <v/>
      </c>
      <c r="Q35" s="243"/>
      <c r="R35" s="192"/>
      <c r="S35" s="193"/>
      <c r="T35" s="358"/>
      <c r="U35" s="359"/>
      <c r="V35" s="176" t="str">
        <f>IF(P35="","",IF(AD35=TRUE,0,P35*R35*0.034*$V$4))</f>
        <v/>
      </c>
      <c r="W35" s="177"/>
      <c r="X35" s="176" t="str">
        <f>IF(P35="","",IF(ISERROR(P35*R35*0.034*$X$4),"-",IF(AD35=TRUE,0,P35*R35*0.034*$X$4)))</f>
        <v/>
      </c>
      <c r="Y35" s="177"/>
      <c r="Z35" s="176" t="str">
        <f>IF(R35="","",IF(AD35=TRUE,0.7*R35*P35,R35*P35))</f>
        <v/>
      </c>
      <c r="AA35" s="178"/>
      <c r="AD35" s="40" t="b">
        <v>0</v>
      </c>
      <c r="AE35" s="40">
        <f>IF(AD35=TRUE,0.7,1)</f>
        <v>1</v>
      </c>
      <c r="AF35" s="40" t="str">
        <f>IF(AD35=TRUE,0,"セル")</f>
        <v>セル</v>
      </c>
    </row>
    <row r="36" spans="2:32" s="37" customFormat="1" ht="21.95" customHeight="1">
      <c r="C36" s="41"/>
      <c r="D36" s="41"/>
      <c r="E36" s="41"/>
      <c r="F36" s="41"/>
      <c r="G36" s="41"/>
      <c r="H36" s="41"/>
      <c r="I36" s="41"/>
      <c r="J36" s="218"/>
      <c r="K36" s="220"/>
      <c r="L36" s="192"/>
      <c r="M36" s="193"/>
      <c r="N36" s="192"/>
      <c r="O36" s="193"/>
      <c r="P36" s="242" t="str">
        <f>IF(L36="","",L36-N36)</f>
        <v/>
      </c>
      <c r="Q36" s="243"/>
      <c r="R36" s="254"/>
      <c r="S36" s="254"/>
      <c r="T36" s="253"/>
      <c r="U36" s="253"/>
      <c r="V36" s="174" t="str">
        <f>IF(P36="","",IF(AD36=TRUE,0,P36*R36*0.034*$V$4))</f>
        <v/>
      </c>
      <c r="W36" s="174"/>
      <c r="X36" s="176" t="str">
        <f>IF(P36="","",IF(ISERROR(P36*R36*0.034*$X$4),"-",IF(AD36=TRUE,0,P36*R36*0.034*$X$4)))</f>
        <v/>
      </c>
      <c r="Y36" s="177"/>
      <c r="Z36" s="174" t="str">
        <f>IF(R36="","",IF(AD36=TRUE,0.7*R36*P36,R36*P36))</f>
        <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124</v>
      </c>
      <c r="K38" s="198"/>
      <c r="L38" s="198"/>
      <c r="M38" s="198"/>
      <c r="N38" s="198"/>
      <c r="O38" s="198"/>
      <c r="P38" s="198"/>
      <c r="Q38" s="198"/>
      <c r="R38" s="198"/>
      <c r="S38" s="198"/>
      <c r="T38" s="198"/>
      <c r="U38" s="231"/>
      <c r="V38" s="184">
        <f>SUM(V33:W37)</f>
        <v>0</v>
      </c>
      <c r="W38" s="184"/>
      <c r="X38" s="184">
        <f>SUM(X33:Y37)</f>
        <v>0</v>
      </c>
      <c r="Y38" s="184"/>
      <c r="Z38" s="184">
        <f>SUM(Z33:AA37)</f>
        <v>0</v>
      </c>
      <c r="AA38" s="189"/>
    </row>
    <row r="39" spans="2:32" s="37" customFormat="1" ht="9.9499999999999993" customHeight="1"/>
    <row r="40" spans="2:32" s="37" customFormat="1" ht="21.95" customHeight="1" thickBot="1">
      <c r="B40" s="38" t="s">
        <v>125</v>
      </c>
    </row>
    <row r="41" spans="2:32" s="37" customFormat="1" ht="21.95" customHeight="1">
      <c r="B41" s="280" t="s">
        <v>104</v>
      </c>
      <c r="C41" s="281"/>
      <c r="D41" s="273" t="s">
        <v>56</v>
      </c>
      <c r="E41" s="274"/>
      <c r="F41" s="274"/>
      <c r="G41" s="274"/>
      <c r="H41" s="274"/>
      <c r="I41" s="274"/>
      <c r="J41" s="275"/>
      <c r="K41" s="42"/>
      <c r="L41" s="276">
        <f>Q41+U41+Y41</f>
        <v>0</v>
      </c>
      <c r="M41" s="276"/>
      <c r="N41" s="276"/>
      <c r="O41" s="42" t="s">
        <v>24</v>
      </c>
      <c r="P41" s="43" t="s">
        <v>23</v>
      </c>
      <c r="Q41" s="288">
        <f>D8*F8+D9*F9+D10*F10+D11*F11+D12*F12+D13*F13+D14*F14+D15*F15+D16*F16+D17*F17+D18*F18+D19*F19</f>
        <v>0</v>
      </c>
      <c r="R41" s="288"/>
      <c r="S41" s="44" t="s">
        <v>25</v>
      </c>
      <c r="T41" s="44" t="s">
        <v>22</v>
      </c>
      <c r="U41" s="289">
        <f>N25*P25+N26*P26+N27*P27</f>
        <v>0</v>
      </c>
      <c r="V41" s="289"/>
      <c r="W41" s="44" t="s">
        <v>25</v>
      </c>
      <c r="X41" s="44" t="s">
        <v>1</v>
      </c>
      <c r="Y41" s="268">
        <f>SUM(P33:Q37)</f>
        <v>0</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0</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0</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0</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D42:J42"/>
    <mergeCell ref="V38:W38"/>
    <mergeCell ref="L36:M36"/>
    <mergeCell ref="L37:M37"/>
    <mergeCell ref="Z38:AA38"/>
    <mergeCell ref="B41:C44"/>
    <mergeCell ref="D41:J41"/>
    <mergeCell ref="L41:N41"/>
    <mergeCell ref="Q41:R41"/>
    <mergeCell ref="D43:J43"/>
    <mergeCell ref="D44:J44"/>
    <mergeCell ref="Z35:AA35"/>
    <mergeCell ref="V36:W36"/>
    <mergeCell ref="X38:Y38"/>
    <mergeCell ref="X36:Y36"/>
    <mergeCell ref="N36:O36"/>
    <mergeCell ref="T36:U36"/>
    <mergeCell ref="R36:S36"/>
    <mergeCell ref="N37:O37"/>
    <mergeCell ref="P36:Q36"/>
    <mergeCell ref="Z36:AA36"/>
    <mergeCell ref="Z26:AA26"/>
    <mergeCell ref="V33:W33"/>
    <mergeCell ref="Z31:AA32"/>
    <mergeCell ref="Z34:AA34"/>
    <mergeCell ref="X34:Y34"/>
    <mergeCell ref="Z28:AA28"/>
    <mergeCell ref="Z33:AA33"/>
    <mergeCell ref="W43:Y43"/>
    <mergeCell ref="T37:U37"/>
    <mergeCell ref="V37:W37"/>
    <mergeCell ref="X37:Y37"/>
    <mergeCell ref="J37:K37"/>
    <mergeCell ref="R37:S37"/>
    <mergeCell ref="W42:Y42"/>
    <mergeCell ref="Y41:Z41"/>
    <mergeCell ref="U41:V41"/>
    <mergeCell ref="J38:U38"/>
    <mergeCell ref="J36:K36"/>
    <mergeCell ref="P37:Q37"/>
    <mergeCell ref="V35:W35"/>
    <mergeCell ref="Z37:AA37"/>
    <mergeCell ref="Z27:AA27"/>
    <mergeCell ref="V28:W28"/>
    <mergeCell ref="X28:Y28"/>
    <mergeCell ref="V27:W27"/>
    <mergeCell ref="X31:Y32"/>
    <mergeCell ref="X33:Y33"/>
    <mergeCell ref="P27:Q27"/>
    <mergeCell ref="T27:U27"/>
    <mergeCell ref="T31:U32"/>
    <mergeCell ref="T35:U35"/>
    <mergeCell ref="J28:U28"/>
    <mergeCell ref="W44:Y44"/>
    <mergeCell ref="X35:Y35"/>
    <mergeCell ref="J35:K35"/>
    <mergeCell ref="L35:M35"/>
    <mergeCell ref="R35:S35"/>
    <mergeCell ref="N31:O32"/>
    <mergeCell ref="J33:K33"/>
    <mergeCell ref="L33:M33"/>
    <mergeCell ref="V34:W34"/>
    <mergeCell ref="P35:Q35"/>
    <mergeCell ref="N35:O35"/>
    <mergeCell ref="T33:U33"/>
    <mergeCell ref="V31:W32"/>
    <mergeCell ref="J34:K34"/>
    <mergeCell ref="J31:K32"/>
    <mergeCell ref="N34:O34"/>
    <mergeCell ref="R34:S34"/>
    <mergeCell ref="L34:M34"/>
    <mergeCell ref="P34:Q34"/>
    <mergeCell ref="N33:O33"/>
    <mergeCell ref="P31:Q32"/>
    <mergeCell ref="P33:Q33"/>
    <mergeCell ref="L31:M32"/>
    <mergeCell ref="R33:S33"/>
    <mergeCell ref="T34:U34"/>
    <mergeCell ref="X26:Y26"/>
    <mergeCell ref="T25:U25"/>
    <mergeCell ref="R25:S25"/>
    <mergeCell ref="T26:U26"/>
    <mergeCell ref="R26:S26"/>
    <mergeCell ref="R31:S32"/>
    <mergeCell ref="R27:S27"/>
    <mergeCell ref="X27:Y27"/>
    <mergeCell ref="R18:S18"/>
    <mergeCell ref="R19:S19"/>
    <mergeCell ref="T19:U19"/>
    <mergeCell ref="R23:S24"/>
    <mergeCell ref="T23:U24"/>
    <mergeCell ref="T18:U18"/>
    <mergeCell ref="N27:O27"/>
    <mergeCell ref="J25:M25"/>
    <mergeCell ref="J27:M27"/>
    <mergeCell ref="V25:W25"/>
    <mergeCell ref="V26:W26"/>
    <mergeCell ref="P25:Q25"/>
    <mergeCell ref="N25:O25"/>
    <mergeCell ref="N26:O26"/>
    <mergeCell ref="J26:M26"/>
    <mergeCell ref="P26:Q26"/>
    <mergeCell ref="X18:Y18"/>
    <mergeCell ref="AN23:AO23"/>
    <mergeCell ref="Z18:AA18"/>
    <mergeCell ref="AN21:AO21"/>
    <mergeCell ref="Z19:AA19"/>
    <mergeCell ref="Z23:AA24"/>
    <mergeCell ref="Z25:AA25"/>
    <mergeCell ref="Z20:AA20"/>
    <mergeCell ref="X20:Y20"/>
    <mergeCell ref="V20:W20"/>
    <mergeCell ref="X23:Y24"/>
    <mergeCell ref="V18:W18"/>
    <mergeCell ref="V19:W19"/>
    <mergeCell ref="X25:Y25"/>
    <mergeCell ref="V23:W24"/>
    <mergeCell ref="X19:Y19"/>
    <mergeCell ref="N24:O24"/>
    <mergeCell ref="P24:Q24"/>
    <mergeCell ref="B19:C19"/>
    <mergeCell ref="B20:U20"/>
    <mergeCell ref="F19:G19"/>
    <mergeCell ref="J23:M24"/>
    <mergeCell ref="N23:Q23"/>
    <mergeCell ref="N19:O19"/>
    <mergeCell ref="P19:Q19"/>
    <mergeCell ref="L18:M18"/>
    <mergeCell ref="L19:M19"/>
    <mergeCell ref="L17:M17"/>
    <mergeCell ref="R17:S17"/>
    <mergeCell ref="J17:K17"/>
    <mergeCell ref="H17:I17"/>
    <mergeCell ref="J19:K19"/>
    <mergeCell ref="H18:I18"/>
    <mergeCell ref="J18:K18"/>
    <mergeCell ref="P18:Q18"/>
    <mergeCell ref="B17:C17"/>
    <mergeCell ref="D19:E19"/>
    <mergeCell ref="B18:C18"/>
    <mergeCell ref="H19:I19"/>
    <mergeCell ref="D18:E18"/>
    <mergeCell ref="F18:G18"/>
    <mergeCell ref="D17:E17"/>
    <mergeCell ref="F17:G17"/>
    <mergeCell ref="J15:K15"/>
    <mergeCell ref="H14:I14"/>
    <mergeCell ref="L16:M16"/>
    <mergeCell ref="L15:M15"/>
    <mergeCell ref="H16:I16"/>
    <mergeCell ref="J16:K16"/>
    <mergeCell ref="H15:I15"/>
    <mergeCell ref="V16:W16"/>
    <mergeCell ref="X16:Y16"/>
    <mergeCell ref="P14:Q14"/>
    <mergeCell ref="L14:M14"/>
    <mergeCell ref="T16:U16"/>
    <mergeCell ref="R14:S14"/>
    <mergeCell ref="T15:U15"/>
    <mergeCell ref="T14:U14"/>
    <mergeCell ref="N16:O16"/>
    <mergeCell ref="P15:Q15"/>
    <mergeCell ref="V12:W12"/>
    <mergeCell ref="Z14:AA14"/>
    <mergeCell ref="V14:W14"/>
    <mergeCell ref="X14:Y14"/>
    <mergeCell ref="R13:S13"/>
    <mergeCell ref="X17:Y17"/>
    <mergeCell ref="V17:W17"/>
    <mergeCell ref="V10:W10"/>
    <mergeCell ref="N18:O18"/>
    <mergeCell ref="N17:O17"/>
    <mergeCell ref="Z17:AA17"/>
    <mergeCell ref="T17:U17"/>
    <mergeCell ref="R15:S15"/>
    <mergeCell ref="N15:O15"/>
    <mergeCell ref="P17:Q17"/>
    <mergeCell ref="J14:K14"/>
    <mergeCell ref="F10:G10"/>
    <mergeCell ref="P13:Q13"/>
    <mergeCell ref="Z16:AA16"/>
    <mergeCell ref="V15:W15"/>
    <mergeCell ref="X15:Y15"/>
    <mergeCell ref="R16:S16"/>
    <mergeCell ref="P16:Q16"/>
    <mergeCell ref="Z15:AA15"/>
    <mergeCell ref="N14:O14"/>
    <mergeCell ref="B9:C9"/>
    <mergeCell ref="D9:E9"/>
    <mergeCell ref="H10:I10"/>
    <mergeCell ref="D13:E13"/>
    <mergeCell ref="F9:G9"/>
    <mergeCell ref="F11:G11"/>
    <mergeCell ref="B12:C12"/>
    <mergeCell ref="B13:C13"/>
    <mergeCell ref="D12:E12"/>
    <mergeCell ref="D10:E10"/>
    <mergeCell ref="B10:C10"/>
    <mergeCell ref="F12:G12"/>
    <mergeCell ref="B16:C16"/>
    <mergeCell ref="D16:E16"/>
    <mergeCell ref="F16:G16"/>
    <mergeCell ref="B11:C11"/>
    <mergeCell ref="D11:E11"/>
    <mergeCell ref="B15:C15"/>
    <mergeCell ref="B14:C14"/>
    <mergeCell ref="F15:G15"/>
    <mergeCell ref="Z9:AA9"/>
    <mergeCell ref="X9:Y9"/>
    <mergeCell ref="Z12:AA12"/>
    <mergeCell ref="T12:U12"/>
    <mergeCell ref="L13:M13"/>
    <mergeCell ref="V13:W13"/>
    <mergeCell ref="X13:Y13"/>
    <mergeCell ref="Z13:AA13"/>
    <mergeCell ref="Z10:AA10"/>
    <mergeCell ref="Z11:AA11"/>
    <mergeCell ref="X12:Y12"/>
    <mergeCell ref="L11:M11"/>
    <mergeCell ref="N11:O11"/>
    <mergeCell ref="P12:Q12"/>
    <mergeCell ref="D15:E15"/>
    <mergeCell ref="F13:G13"/>
    <mergeCell ref="D14:E14"/>
    <mergeCell ref="F14:G14"/>
    <mergeCell ref="V11:W11"/>
    <mergeCell ref="R11:S11"/>
    <mergeCell ref="P10:Q10"/>
    <mergeCell ref="P11:Q11"/>
    <mergeCell ref="T10:U10"/>
    <mergeCell ref="R10:S10"/>
    <mergeCell ref="T11:U11"/>
    <mergeCell ref="X11:Y11"/>
    <mergeCell ref="X10:Y10"/>
    <mergeCell ref="N10:O10"/>
    <mergeCell ref="T13:U13"/>
    <mergeCell ref="H9:I9"/>
    <mergeCell ref="P9:Q9"/>
    <mergeCell ref="N13:O13"/>
    <mergeCell ref="R12:S12"/>
    <mergeCell ref="L12:M12"/>
    <mergeCell ref="N12:O12"/>
    <mergeCell ref="L10:M10"/>
    <mergeCell ref="J9:K9"/>
    <mergeCell ref="H13:I13"/>
    <mergeCell ref="J13:K13"/>
    <mergeCell ref="J11:K11"/>
    <mergeCell ref="H11:I11"/>
    <mergeCell ref="H12:I12"/>
    <mergeCell ref="J12:K12"/>
    <mergeCell ref="J10:K10"/>
    <mergeCell ref="V9:W9"/>
    <mergeCell ref="T9:U9"/>
    <mergeCell ref="R9:S9"/>
    <mergeCell ref="L9:M9"/>
    <mergeCell ref="N9:O9"/>
    <mergeCell ref="V8:W8"/>
    <mergeCell ref="B2:AA2"/>
    <mergeCell ref="R4:U4"/>
    <mergeCell ref="V4:W4"/>
    <mergeCell ref="X4:Y4"/>
    <mergeCell ref="P8:Q8"/>
    <mergeCell ref="H5:I7"/>
    <mergeCell ref="D5:G5"/>
    <mergeCell ref="H8:I8"/>
    <mergeCell ref="J8:K8"/>
    <mergeCell ref="T8:U8"/>
    <mergeCell ref="D6:E7"/>
    <mergeCell ref="N6:O7"/>
    <mergeCell ref="L8:M8"/>
    <mergeCell ref="X8:Y8"/>
    <mergeCell ref="Z8:AA8"/>
    <mergeCell ref="Z5:AA7"/>
    <mergeCell ref="D8:E8"/>
    <mergeCell ref="F6:G7"/>
    <mergeCell ref="L5:M7"/>
    <mergeCell ref="F8:G8"/>
    <mergeCell ref="B5:C7"/>
    <mergeCell ref="N5:U5"/>
    <mergeCell ref="J5:K7"/>
    <mergeCell ref="N8:O8"/>
    <mergeCell ref="R8:S8"/>
    <mergeCell ref="B8:C8"/>
    <mergeCell ref="AN6:AO6"/>
    <mergeCell ref="P7:Q7"/>
    <mergeCell ref="R7:S7"/>
    <mergeCell ref="T7:U7"/>
    <mergeCell ref="V5:W7"/>
    <mergeCell ref="X5:Y7"/>
    <mergeCell ref="AK6:AL6"/>
    <mergeCell ref="P6:U6"/>
    <mergeCell ref="AH6:AI6"/>
    <mergeCell ref="AD6:AE6"/>
  </mergeCells>
  <phoneticPr fontId="2"/>
  <conditionalFormatting sqref="V20:W20">
    <cfRule type="expression" dxfId="168" priority="51" stopIfTrue="1">
      <formula>$V$20=0</formula>
    </cfRule>
  </conditionalFormatting>
  <conditionalFormatting sqref="X20:Y20">
    <cfRule type="expression" dxfId="167" priority="50" stopIfTrue="1">
      <formula>$X$20=0</formula>
    </cfRule>
  </conditionalFormatting>
  <conditionalFormatting sqref="Z20:AA20">
    <cfRule type="expression" dxfId="166" priority="49" stopIfTrue="1">
      <formula>$Z$20=0</formula>
    </cfRule>
  </conditionalFormatting>
  <conditionalFormatting sqref="V28:W28">
    <cfRule type="expression" dxfId="165" priority="48" stopIfTrue="1">
      <formula>$V$28:$W$28=0</formula>
    </cfRule>
  </conditionalFormatting>
  <conditionalFormatting sqref="V38:W38">
    <cfRule type="expression" dxfId="164" priority="47" stopIfTrue="1">
      <formula>$V$38:$W$38=0</formula>
    </cfRule>
  </conditionalFormatting>
  <conditionalFormatting sqref="Y41:Z41">
    <cfRule type="expression" dxfId="163" priority="46" stopIfTrue="1">
      <formula>$Y$41=0</formula>
    </cfRule>
  </conditionalFormatting>
  <conditionalFormatting sqref="Q41:R41">
    <cfRule type="expression" dxfId="162" priority="45" stopIfTrue="1">
      <formula>$Q$41=0</formula>
    </cfRule>
  </conditionalFormatting>
  <conditionalFormatting sqref="U41:V41">
    <cfRule type="expression" dxfId="161" priority="44" stopIfTrue="1">
      <formula>$U$41=0</formula>
    </cfRule>
  </conditionalFormatting>
  <conditionalFormatting sqref="L41:N41">
    <cfRule type="expression" dxfId="160" priority="43" stopIfTrue="1">
      <formula>$L$41=0</formula>
    </cfRule>
  </conditionalFormatting>
  <conditionalFormatting sqref="X8:Y8">
    <cfRule type="expression" dxfId="159" priority="41" stopIfTrue="1">
      <formula>#VALUE!</formula>
    </cfRule>
    <cfRule type="expression" dxfId="158" priority="42" stopIfTrue="1">
      <formula>#VALUE!</formula>
    </cfRule>
  </conditionalFormatting>
  <conditionalFormatting sqref="X19:Y19">
    <cfRule type="expression" dxfId="157" priority="40" stopIfTrue="1">
      <formula>#VALUE!</formula>
    </cfRule>
  </conditionalFormatting>
  <conditionalFormatting sqref="X8:Y8">
    <cfRule type="expression" dxfId="156" priority="28" stopIfTrue="1">
      <formula>#VALUE!</formula>
    </cfRule>
    <cfRule type="expression" dxfId="155" priority="29" stopIfTrue="1">
      <formula>#VALUE!</formula>
    </cfRule>
  </conditionalFormatting>
  <conditionalFormatting sqref="X19:Y19">
    <cfRule type="expression" dxfId="154" priority="27" stopIfTrue="1">
      <formula>#VALUE!</formula>
    </cfRule>
  </conditionalFormatting>
  <conditionalFormatting sqref="X28:Y28">
    <cfRule type="expression" dxfId="153" priority="26" stopIfTrue="1">
      <formula>$X$28:$Y$28=0</formula>
    </cfRule>
  </conditionalFormatting>
  <conditionalFormatting sqref="Z28:AA28">
    <cfRule type="expression" dxfId="152" priority="25" stopIfTrue="1">
      <formula>$Z$28:$AA$28=0</formula>
    </cfRule>
  </conditionalFormatting>
  <conditionalFormatting sqref="X38:Y38">
    <cfRule type="expression" dxfId="151" priority="24" stopIfTrue="1">
      <formula>$X$38:$Y$38=0</formula>
    </cfRule>
  </conditionalFormatting>
  <conditionalFormatting sqref="Z38:AA38">
    <cfRule type="expression" dxfId="150" priority="23" stopIfTrue="1">
      <formula>$Z$38:$AA$38=0</formula>
    </cfRule>
  </conditionalFormatting>
  <conditionalFormatting sqref="P8:U8">
    <cfRule type="expression" dxfId="149" priority="12" stopIfTrue="1">
      <formula>$AG$8=TRUE</formula>
    </cfRule>
  </conditionalFormatting>
  <conditionalFormatting sqref="P15:U15">
    <cfRule type="expression" dxfId="148" priority="11" stopIfTrue="1">
      <formula>$AG$15=TRUE</formula>
    </cfRule>
  </conditionalFormatting>
  <conditionalFormatting sqref="P16:U16">
    <cfRule type="expression" dxfId="147" priority="10" stopIfTrue="1">
      <formula>$AG$16=TRUE</formula>
    </cfRule>
  </conditionalFormatting>
  <conditionalFormatting sqref="P17:U17">
    <cfRule type="expression" dxfId="146" priority="9" stopIfTrue="1">
      <formula>$AG$17=TRUE</formula>
    </cfRule>
  </conditionalFormatting>
  <conditionalFormatting sqref="P18:U18">
    <cfRule type="expression" dxfId="145" priority="8" stopIfTrue="1">
      <formula>$AG$18=TRUE</formula>
    </cfRule>
  </conditionalFormatting>
  <conditionalFormatting sqref="P19:U19">
    <cfRule type="expression" dxfId="144" priority="7" stopIfTrue="1">
      <formula>$AG$19=TRUE</formula>
    </cfRule>
  </conditionalFormatting>
  <conditionalFormatting sqref="P10:U10">
    <cfRule type="expression" dxfId="143" priority="6" stopIfTrue="1">
      <formula>$AG$10=TRUE</formula>
    </cfRule>
  </conditionalFormatting>
  <conditionalFormatting sqref="P11:U11">
    <cfRule type="expression" dxfId="142" priority="5" stopIfTrue="1">
      <formula>$AG$11=TRUE</formula>
    </cfRule>
  </conditionalFormatting>
  <conditionalFormatting sqref="P14:U14">
    <cfRule type="expression" dxfId="141" priority="4" stopIfTrue="1">
      <formula>$AG$14=TRUE</formula>
    </cfRule>
  </conditionalFormatting>
  <conditionalFormatting sqref="P9:U9">
    <cfRule type="expression" dxfId="140" priority="3" stopIfTrue="1">
      <formula>$AG$9=TRUE</formula>
    </cfRule>
  </conditionalFormatting>
  <conditionalFormatting sqref="P12:U12">
    <cfRule type="expression" dxfId="139" priority="2">
      <formula>$AG$12=TRUE</formula>
    </cfRule>
  </conditionalFormatting>
  <conditionalFormatting sqref="P13:U13">
    <cfRule type="expression" dxfId="138"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Sheet7"/>
  <dimension ref="B1:AO106"/>
  <sheetViews>
    <sheetView showGridLines="0" view="pageBreakPreview" topLeftCell="A16" zoomScaleNormal="100" zoomScaleSheetLayoutView="100" workbookViewId="0">
      <selection activeCell="R36" sqref="R36:S36"/>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112</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55">
        <f ca="1">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0.434</v>
      </c>
      <c r="W4" s="356"/>
      <c r="X4" s="355">
        <f ca="1">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0.93600000000000005</v>
      </c>
      <c r="Y4" s="356"/>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v>111</v>
      </c>
      <c r="C8" s="349"/>
      <c r="D8" s="194">
        <v>1.65</v>
      </c>
      <c r="E8" s="195"/>
      <c r="F8" s="195">
        <v>2.2000000000000002</v>
      </c>
      <c r="G8" s="221"/>
      <c r="H8" s="226">
        <v>1.7</v>
      </c>
      <c r="I8" s="226"/>
      <c r="J8" s="226">
        <v>0.32</v>
      </c>
      <c r="K8" s="226"/>
      <c r="L8" s="199" t="s">
        <v>244</v>
      </c>
      <c r="M8" s="199"/>
      <c r="N8" s="305"/>
      <c r="O8" s="306"/>
      <c r="P8" s="307"/>
      <c r="Q8" s="308"/>
      <c r="R8" s="347"/>
      <c r="S8" s="348"/>
      <c r="T8" s="317"/>
      <c r="U8" s="307"/>
      <c r="V8" s="207">
        <f>IF(D8="","",AD8)</f>
        <v>0.46884499200000002</v>
      </c>
      <c r="W8" s="207"/>
      <c r="X8" s="207">
        <f t="shared" ref="X8:X19" si="0">IF(D8="","",IF(ISERROR(AE8),"-",AE8))</f>
        <v>0.55450137600000005</v>
      </c>
      <c r="Y8" s="207"/>
      <c r="Z8" s="207">
        <f>IF(D8="","",D8*F8*AN8)</f>
        <v>5.7226794871794873</v>
      </c>
      <c r="AA8" s="208"/>
      <c r="AD8" s="37">
        <f>D8*F8*J8*$V$4*AH8</f>
        <v>0.46884499200000002</v>
      </c>
      <c r="AE8" s="37">
        <f>D8*F8*J8*$X$4*AI8</f>
        <v>0.55450137600000005</v>
      </c>
      <c r="AG8" s="40" t="b">
        <v>1</v>
      </c>
      <c r="AH8" s="37" t="str">
        <f>IF(AG8=TRUE,"0.93",IF(ISERROR(AK8),"エラー",IF(AK8&gt;0.93,"0.93",AK8)))</f>
        <v>0.93</v>
      </c>
      <c r="AI8" s="37" t="str">
        <f>IF(AG8=TRUE,"0.51",IF(ISERROR(AL8),"エラー",IF(AL8&gt;0.72,"0.72",AL8)))</f>
        <v>0.51</v>
      </c>
      <c r="AK8" s="37" t="e">
        <f ca="1">IF(共通条件・結果!$AA$7="８（Ⅵ）",0.01*(16+19*(2*R8+T8)/P8),0.01*(24+9*(3*R8+T8)/P8))</f>
        <v>#DIV/0!</v>
      </c>
      <c r="AL8" s="37" t="e">
        <f ca="1">0.01*(5+20*(3*R8+T8)/P8)</f>
        <v>#DIV/0!</v>
      </c>
      <c r="AN8" s="37">
        <f ca="1">IF(共通条件・結果!$AA$7="８地域",H8,IF(AO8="FALSE",H8,IF(L8="風除室",1/((1/H8)+0.1),0.5*H8+0.5*(1/((1/H8)+AO8)))))</f>
        <v>1.5764957264957264</v>
      </c>
      <c r="AO8" s="39">
        <f t="shared" ref="AO8:AO19" si="1">IF(L8="","FALSE",IF(L8="雨戸",0.1,IF(L8="ｼｬｯﾀｰ",0.1,IF(L8="障子",0.18,IF(L8="風除室",0.1)))))</f>
        <v>0.1</v>
      </c>
    </row>
    <row r="9" spans="2:41" s="37" customFormat="1" ht="21.95" customHeight="1">
      <c r="B9" s="218">
        <v>111</v>
      </c>
      <c r="C9" s="350"/>
      <c r="D9" s="318">
        <v>1.65</v>
      </c>
      <c r="E9" s="278"/>
      <c r="F9" s="278">
        <v>2.2000000000000002</v>
      </c>
      <c r="G9" s="279"/>
      <c r="H9" s="254">
        <v>1.7</v>
      </c>
      <c r="I9" s="254"/>
      <c r="J9" s="254">
        <v>0.32</v>
      </c>
      <c r="K9" s="254"/>
      <c r="L9" s="227" t="s">
        <v>244</v>
      </c>
      <c r="M9" s="227"/>
      <c r="N9" s="300"/>
      <c r="O9" s="301"/>
      <c r="P9" s="297"/>
      <c r="Q9" s="298"/>
      <c r="R9" s="302"/>
      <c r="S9" s="303"/>
      <c r="T9" s="296"/>
      <c r="U9" s="297"/>
      <c r="V9" s="174">
        <f t="shared" ref="V9:V19" si="2">IF(D9="","",AD9)</f>
        <v>0.46884499200000002</v>
      </c>
      <c r="W9" s="174"/>
      <c r="X9" s="174">
        <f t="shared" si="0"/>
        <v>0.55450137600000005</v>
      </c>
      <c r="Y9" s="174"/>
      <c r="Z9" s="174">
        <f t="shared" ref="Z9:Z19" si="3">IF(D9="","",D9*F9*AN9)</f>
        <v>5.7226794871794873</v>
      </c>
      <c r="AA9" s="175"/>
      <c r="AD9" s="37">
        <f t="shared" ref="AD9:AD19" si="4">D9*F9*J9*$V$4*AH9</f>
        <v>0.46884499200000002</v>
      </c>
      <c r="AE9" s="37">
        <f t="shared" ref="AE9:AE19" si="5">D9*F9*J9*$X$4*AI9</f>
        <v>0.55450137600000005</v>
      </c>
      <c r="AG9" s="40" t="b">
        <v>1</v>
      </c>
      <c r="AH9" s="37" t="str">
        <f t="shared" ref="AH9:AH19" si="6">IF(AG9=TRUE,"0.93",IF(ISERROR(AK9),"エラー",IF(AK9&gt;0.93,"0.93",AK9)))</f>
        <v>0.93</v>
      </c>
      <c r="AI9" s="37" t="str">
        <f t="shared" ref="AI9:AI19" si="7">IF(AG9=TRUE,"0.51",IF(ISERROR(AL9),"エラー",IF(AL9&gt;0.72,"0.72",AL9)))</f>
        <v>0.51</v>
      </c>
      <c r="AK9" s="37" t="e">
        <f ca="1">IF(共通条件・結果!$AA$7="８（Ⅵ）",0.01*(16+19*(2*R9+T9)/P9),0.01*(24+9*(3*R9+T9)/P9))</f>
        <v>#DIV/0!</v>
      </c>
      <c r="AL9" s="37" t="e">
        <f t="shared" ref="AL9:AL19" si="8">0.01*(5+20*(3*R9+T9)/P9)</f>
        <v>#DIV/0!</v>
      </c>
      <c r="AN9" s="37">
        <f ca="1">IF(共通条件・結果!$AA$7="８地域",H9,IF(AO9="FALSE",H9,IF(L9="風除室",1/((1/H9)+0.1),0.5*H9+0.5*(1/((1/H9)+AO9)))))</f>
        <v>1.5764957264957264</v>
      </c>
      <c r="AO9" s="39">
        <f t="shared" si="1"/>
        <v>0.1</v>
      </c>
    </row>
    <row r="10" spans="2:41" s="37" customFormat="1" ht="21.95" customHeight="1">
      <c r="B10" s="218">
        <v>112</v>
      </c>
      <c r="C10" s="350"/>
      <c r="D10" s="318">
        <v>2.6</v>
      </c>
      <c r="E10" s="278"/>
      <c r="F10" s="278">
        <v>2.2000000000000002</v>
      </c>
      <c r="G10" s="279"/>
      <c r="H10" s="254">
        <v>1.7</v>
      </c>
      <c r="I10" s="254"/>
      <c r="J10" s="254">
        <v>0.32</v>
      </c>
      <c r="K10" s="254"/>
      <c r="L10" s="227" t="s">
        <v>244</v>
      </c>
      <c r="M10" s="227"/>
      <c r="N10" s="300"/>
      <c r="O10" s="301"/>
      <c r="P10" s="298"/>
      <c r="Q10" s="299"/>
      <c r="R10" s="295"/>
      <c r="S10" s="299"/>
      <c r="T10" s="295"/>
      <c r="U10" s="296"/>
      <c r="V10" s="174">
        <f t="shared" si="2"/>
        <v>0.73878604800000014</v>
      </c>
      <c r="W10" s="174"/>
      <c r="X10" s="174">
        <f t="shared" si="0"/>
        <v>0.87375974400000012</v>
      </c>
      <c r="Y10" s="174"/>
      <c r="Z10" s="174">
        <f t="shared" si="3"/>
        <v>9.0175555555555569</v>
      </c>
      <c r="AA10" s="175"/>
      <c r="AD10" s="37">
        <f t="shared" si="4"/>
        <v>0.73878604800000014</v>
      </c>
      <c r="AE10" s="37">
        <f t="shared" si="5"/>
        <v>0.87375974400000012</v>
      </c>
      <c r="AG10" s="40" t="b">
        <v>1</v>
      </c>
      <c r="AH10" s="37" t="str">
        <f t="shared" si="6"/>
        <v>0.93</v>
      </c>
      <c r="AI10" s="37" t="str">
        <f t="shared" si="7"/>
        <v>0.51</v>
      </c>
      <c r="AK10" s="37" t="e">
        <f ca="1">IF(共通条件・結果!$AA$7="８（Ⅵ）",0.01*(16+19*(2*R10+T10)/P10),0.01*(24+9*(3*R10+T10)/P10))</f>
        <v>#DIV/0!</v>
      </c>
      <c r="AL10" s="37" t="e">
        <f t="shared" si="8"/>
        <v>#DIV/0!</v>
      </c>
      <c r="AN10" s="37">
        <f ca="1">IF(共通条件・結果!$AA$7="８地域",H10,IF(AO10="FALSE",H10,IF(L10="風除室",1/((1/H10)+0.1),0.5*H10+0.5*(1/((1/H10)+AO10)))))</f>
        <v>1.5764957264957264</v>
      </c>
      <c r="AO10" s="39">
        <f t="shared" si="1"/>
        <v>0.1</v>
      </c>
    </row>
    <row r="11" spans="2:41" s="37" customFormat="1" ht="21.95" customHeight="1">
      <c r="B11" s="218">
        <v>106</v>
      </c>
      <c r="C11" s="350"/>
      <c r="D11" s="318">
        <v>1.145</v>
      </c>
      <c r="E11" s="278"/>
      <c r="F11" s="278">
        <v>0.9</v>
      </c>
      <c r="G11" s="279"/>
      <c r="H11" s="254">
        <v>1.7</v>
      </c>
      <c r="I11" s="254"/>
      <c r="J11" s="254">
        <v>0.32</v>
      </c>
      <c r="K11" s="254"/>
      <c r="L11" s="227"/>
      <c r="M11" s="227"/>
      <c r="N11" s="300"/>
      <c r="O11" s="301"/>
      <c r="P11" s="298"/>
      <c r="Q11" s="299"/>
      <c r="R11" s="295"/>
      <c r="S11" s="299"/>
      <c r="T11" s="295"/>
      <c r="U11" s="296"/>
      <c r="V11" s="174">
        <f t="shared" si="2"/>
        <v>0.13309773120000001</v>
      </c>
      <c r="W11" s="174"/>
      <c r="X11" s="174">
        <f t="shared" si="0"/>
        <v>0.15741423360000001</v>
      </c>
      <c r="Y11" s="174"/>
      <c r="Z11" s="174">
        <f t="shared" si="3"/>
        <v>1.7518499999999999</v>
      </c>
      <c r="AA11" s="175"/>
      <c r="AD11" s="37">
        <f t="shared" si="4"/>
        <v>0.13309773120000001</v>
      </c>
      <c r="AE11" s="37">
        <f t="shared" si="5"/>
        <v>0.15741423360000001</v>
      </c>
      <c r="AG11" s="40" t="b">
        <v>1</v>
      </c>
      <c r="AH11" s="37" t="str">
        <f t="shared" si="6"/>
        <v>0.93</v>
      </c>
      <c r="AI11" s="37" t="str">
        <f t="shared" si="7"/>
        <v>0.51</v>
      </c>
      <c r="AK11" s="37" t="e">
        <f ca="1">IF(共通条件・結果!$AA$7="８（Ⅵ）",0.01*(16+19*(2*R11+T11)/P11),0.01*(24+9*(3*R11+T11)/P11))</f>
        <v>#DIV/0!</v>
      </c>
      <c r="AL11" s="37" t="e">
        <f t="shared" si="8"/>
        <v>#DIV/0!</v>
      </c>
      <c r="AN11" s="37">
        <f ca="1">IF(共通条件・結果!$AA$7="８地域",H11,IF(AO11="FALSE",H11,IF(L11="風除室",1/((1/H11)+0.1),0.5*H11+0.5*(1/((1/H11)+AO11)))))</f>
        <v>1.7</v>
      </c>
      <c r="AO11" s="39" t="str">
        <f t="shared" si="1"/>
        <v>FALSE</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 ca="1">IF(共通条件・結果!$AA$7="８（Ⅵ）",0.01*(16+19*(2*R12+T12)/P12),0.01*(24+9*(3*R12+T12)/P12))</f>
        <v>#DIV/0!</v>
      </c>
      <c r="AL12" s="37" t="e">
        <f ca="1">0.01*(5+20*(3*R12+T12)/P12)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 ca="1">IF(共通条件・結果!$AA$7="８（Ⅵ）",0.01*(16+19*(2*R13+T13)/P13),0.01*(24+9*(3*R13+T13)/P13))</f>
        <v>#DIV/0!</v>
      </c>
      <c r="AL13" s="37" t="e">
        <f ca="1">0.01*(5+20*(3*R13+T13)/P13)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ca="1">IF(共通条件・結果!$AA$7="８（Ⅵ）",0.01*(16+19*(2*R14+T14)/P14),0.01*(24+9*(3*R14+T14)/P14))</f>
        <v>#DIV/0!</v>
      </c>
      <c r="AL14" s="37" t="e">
        <f t="shared" si="8"/>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ca="1">IF(共通条件・結果!$AA$7="８（Ⅵ）",0.01*(16+19*(2*R15+T15)/P15),0.01*(24+9*(3*R15+T15)/P15))</f>
        <v>#DIV/0!</v>
      </c>
      <c r="AL15" s="37" t="e">
        <f t="shared" si="8"/>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ca="1">IF(共通条件・結果!$AA$7="８（Ⅵ）",0.01*(16+19*(2*R16+T16)/P16),0.01*(24+9*(3*R16+T16)/P16))</f>
        <v>#DIV/0!</v>
      </c>
      <c r="AL16" s="37" t="e">
        <f t="shared" si="8"/>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ca="1">IF(共通条件・結果!$AA$7="８（Ⅵ）",0.01*(16+19*(2*R17+T17)/P17),0.01*(24+9*(3*R17+T17)/P17))</f>
        <v>#DIV/0!</v>
      </c>
      <c r="AL17" s="37" t="e">
        <f t="shared" si="8"/>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ca="1">IF(共通条件・結果!$AA$7="８（Ⅵ）",0.01*(16+19*(2*R18+T18)/P18),0.01*(24+9*(3*R18+T18)/P18))</f>
        <v>#DIV/0!</v>
      </c>
      <c r="AL18" s="37" t="e">
        <f t="shared" si="8"/>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ca="1">IF(共通条件・結果!$AA$7="８（Ⅵ）",0.01*(16+19*(2*R19+T19)/P19),0.01*(24+9*(3*R19+T19)/P19))</f>
        <v>#DIV/0!</v>
      </c>
      <c r="AL19" s="37" t="e">
        <f t="shared" si="8"/>
        <v>#DIV/0!</v>
      </c>
      <c r="AN19" s="37" t="e">
        <f ca="1">IF(共通条件・結果!$AA$7="８地域",H19,IF(AO19="FALSE",H19,IF(L19="風除室",1/((1/H19)+0.1),0.5*H19+0.5*(1/((1/H19)+AO19)))))</f>
        <v>#DIV/0!</v>
      </c>
      <c r="AO19" s="39" t="b">
        <f t="shared" si="1"/>
        <v>0</v>
      </c>
    </row>
    <row r="20" spans="2:41" s="37" customFormat="1" ht="21.95" customHeight="1" thickBot="1">
      <c r="B20" s="197" t="s">
        <v>126</v>
      </c>
      <c r="C20" s="198"/>
      <c r="D20" s="198"/>
      <c r="E20" s="198"/>
      <c r="F20" s="198"/>
      <c r="G20" s="198"/>
      <c r="H20" s="198"/>
      <c r="I20" s="198"/>
      <c r="J20" s="198"/>
      <c r="K20" s="198"/>
      <c r="L20" s="198"/>
      <c r="M20" s="198"/>
      <c r="N20" s="198"/>
      <c r="O20" s="198"/>
      <c r="P20" s="198"/>
      <c r="Q20" s="198"/>
      <c r="R20" s="198"/>
      <c r="S20" s="198"/>
      <c r="T20" s="198"/>
      <c r="U20" s="198"/>
      <c r="V20" s="184">
        <f>SUM(V8:W19)</f>
        <v>1.8095737632</v>
      </c>
      <c r="W20" s="184"/>
      <c r="X20" s="184">
        <f>SUM(X8:Y19)</f>
        <v>2.1401767296000003</v>
      </c>
      <c r="Y20" s="184"/>
      <c r="Z20" s="184">
        <f>SUM(Z8:AA19)</f>
        <v>22.214764529914532</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146</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t="s">
        <v>243</v>
      </c>
      <c r="K33" s="233"/>
      <c r="L33" s="246">
        <v>42.260399999999997</v>
      </c>
      <c r="M33" s="247"/>
      <c r="N33" s="246"/>
      <c r="O33" s="247"/>
      <c r="P33" s="244">
        <f>IF(L33="","",L33-N33)</f>
        <v>42.260399999999997</v>
      </c>
      <c r="Q33" s="245"/>
      <c r="R33" s="226">
        <v>0.47799999999999998</v>
      </c>
      <c r="S33" s="226"/>
      <c r="T33" s="230"/>
      <c r="U33" s="230"/>
      <c r="V33" s="174">
        <f>IF(P33="","",IF(AD33=TRUE,0,P33*R33*0.034*$V$4))</f>
        <v>0.29807815302720003</v>
      </c>
      <c r="W33" s="174"/>
      <c r="X33" s="176">
        <f>IF(P33="","",IF(ISERROR(P33*R33*0.034*$X$4),"-",IF(AD33=TRUE,0,P33*R33*0.034*$X$4)))</f>
        <v>0.64285979546880012</v>
      </c>
      <c r="Y33" s="177"/>
      <c r="Z33" s="172">
        <f>IF(R33="","",IF(AD33=TRUE,0.7*R33*P33,R33*P33))</f>
        <v>20.200471199999999</v>
      </c>
      <c r="AA33" s="173"/>
      <c r="AD33" s="40" t="b">
        <v>0</v>
      </c>
      <c r="AE33" s="40">
        <f>IF(AD33=TRUE,0.7,1)</f>
        <v>1</v>
      </c>
      <c r="AF33" s="40" t="str">
        <f>IF(AD33=TRUE,0,"セル")</f>
        <v>セル</v>
      </c>
    </row>
    <row r="34" spans="2:32" s="37" customFormat="1" ht="21.95" customHeight="1">
      <c r="C34" s="41"/>
      <c r="D34" s="41"/>
      <c r="E34" s="41"/>
      <c r="F34" s="41"/>
      <c r="G34" s="41"/>
      <c r="H34" s="41"/>
      <c r="I34" s="41"/>
      <c r="J34" s="218" t="s">
        <v>241</v>
      </c>
      <c r="K34" s="220"/>
      <c r="L34" s="192">
        <v>3.149</v>
      </c>
      <c r="M34" s="193"/>
      <c r="N34" s="192"/>
      <c r="O34" s="193"/>
      <c r="P34" s="242">
        <f>IF(L34="","",L34-N34)</f>
        <v>3.149</v>
      </c>
      <c r="Q34" s="243"/>
      <c r="R34" s="192">
        <v>0.47799999999999998</v>
      </c>
      <c r="S34" s="193"/>
      <c r="T34" s="228"/>
      <c r="U34" s="229"/>
      <c r="V34" s="176">
        <f>IF(P34="","",IF(AD34=TRUE,0,P34*R34*0.034*$V$4))</f>
        <v>2.2211055831999997E-2</v>
      </c>
      <c r="W34" s="177"/>
      <c r="X34" s="176">
        <f>IF(P34="","",IF(ISERROR(P34*R34*0.034*$X$4),"-",IF(AD34=TRUE,0,P34*R34*0.034*$X$4)))</f>
        <v>4.7902184927999997E-2</v>
      </c>
      <c r="Y34" s="177"/>
      <c r="Z34" s="176">
        <f>IF(R34="","",IF(AD34=TRUE,0.7*R34*P34,R34*P34))</f>
        <v>1.5052219999999998</v>
      </c>
      <c r="AA34" s="178"/>
      <c r="AD34" s="40" t="b">
        <v>0</v>
      </c>
      <c r="AE34" s="40">
        <f>IF(AD34=TRUE,0.7,1)</f>
        <v>1</v>
      </c>
      <c r="AF34" s="40" t="str">
        <f>IF(AD34=TRUE,0,"セル")</f>
        <v>セル</v>
      </c>
    </row>
    <row r="35" spans="2:32" s="37" customFormat="1" ht="21.95" customHeight="1">
      <c r="C35" s="41"/>
      <c r="D35" s="41"/>
      <c r="E35" s="41"/>
      <c r="F35" s="41"/>
      <c r="G35" s="41"/>
      <c r="H35" s="41"/>
      <c r="I35" s="41"/>
      <c r="J35" s="218" t="s">
        <v>242</v>
      </c>
      <c r="K35" s="220"/>
      <c r="L35" s="192">
        <v>0.33</v>
      </c>
      <c r="M35" s="193"/>
      <c r="N35" s="192"/>
      <c r="O35" s="193"/>
      <c r="P35" s="242">
        <f>IF(L35="","",L35-N35)</f>
        <v>0.33</v>
      </c>
      <c r="Q35" s="243"/>
      <c r="R35" s="192">
        <v>0.47799999999999998</v>
      </c>
      <c r="S35" s="193"/>
      <c r="T35" s="228"/>
      <c r="U35" s="229"/>
      <c r="V35" s="176">
        <f>IF(P35="","",IF(AD35=TRUE,0,P35*R35*0.034*$V$4))</f>
        <v>2.3276114400000002E-3</v>
      </c>
      <c r="W35" s="177"/>
      <c r="X35" s="176">
        <f>IF(P35="","",IF(ISERROR(P35*R35*0.034*$X$4),"-",IF(AD35=TRUE,0,P35*R35*0.034*$X$4)))</f>
        <v>5.0199177600000009E-3</v>
      </c>
      <c r="Y35" s="177"/>
      <c r="Z35" s="176">
        <f>IF(R35="","",IF(AD35=TRUE,0.7*R35*P35,R35*P35))</f>
        <v>0.15773999999999999</v>
      </c>
      <c r="AA35" s="178"/>
      <c r="AD35" s="40" t="b">
        <v>0</v>
      </c>
      <c r="AE35" s="40">
        <f>IF(AD35=TRUE,0.7,1)</f>
        <v>1</v>
      </c>
      <c r="AF35" s="40" t="str">
        <f>IF(AD35=TRUE,0,"セル")</f>
        <v>セル</v>
      </c>
    </row>
    <row r="36" spans="2:32" s="37" customFormat="1" ht="21.95" customHeight="1">
      <c r="C36" s="41"/>
      <c r="D36" s="41"/>
      <c r="E36" s="41"/>
      <c r="F36" s="41"/>
      <c r="G36" s="41"/>
      <c r="H36" s="41"/>
      <c r="I36" s="41"/>
      <c r="J36" s="218" t="s">
        <v>240</v>
      </c>
      <c r="K36" s="220"/>
      <c r="L36" s="192">
        <v>3.2759999999999998</v>
      </c>
      <c r="M36" s="193"/>
      <c r="N36" s="192"/>
      <c r="O36" s="193"/>
      <c r="P36" s="242">
        <f>IF(L36="","",L36-N36)</f>
        <v>3.2759999999999998</v>
      </c>
      <c r="Q36" s="243"/>
      <c r="R36" s="254">
        <v>0.46</v>
      </c>
      <c r="S36" s="254"/>
      <c r="T36" s="253"/>
      <c r="U36" s="253"/>
      <c r="V36" s="174">
        <f>IF(P36="","",IF(AD36=TRUE,0,P36*R36*0.034*$V$4))</f>
        <v>2.2236701760000002E-2</v>
      </c>
      <c r="W36" s="174"/>
      <c r="X36" s="176">
        <f>IF(P36="","",IF(ISERROR(P36*R36*0.034*$X$4),"-",IF(AD36=TRUE,0,P36*R36*0.034*$X$4)))</f>
        <v>4.7957495040000006E-2</v>
      </c>
      <c r="Y36" s="177"/>
      <c r="Z36" s="174">
        <f>IF(R36="","",IF(AD36=TRUE,0.7*R36*P36,R36*P36))</f>
        <v>1.5069600000000001</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127</v>
      </c>
      <c r="K38" s="198"/>
      <c r="L38" s="198"/>
      <c r="M38" s="198"/>
      <c r="N38" s="198"/>
      <c r="O38" s="198"/>
      <c r="P38" s="198"/>
      <c r="Q38" s="198"/>
      <c r="R38" s="198"/>
      <c r="S38" s="198"/>
      <c r="T38" s="198"/>
      <c r="U38" s="231"/>
      <c r="V38" s="184">
        <f>SUM(V33:W37)</f>
        <v>0.3448535220592</v>
      </c>
      <c r="W38" s="184"/>
      <c r="X38" s="184">
        <f>SUM(X33:Y37)</f>
        <v>0.74373939319680016</v>
      </c>
      <c r="Y38" s="184"/>
      <c r="Z38" s="184">
        <f>SUM(Z33:AA37)</f>
        <v>23.370393199999999</v>
      </c>
      <c r="AA38" s="189"/>
    </row>
    <row r="39" spans="2:32" s="37" customFormat="1" ht="9.9499999999999993" customHeight="1"/>
    <row r="40" spans="2:32" s="37" customFormat="1" ht="21.95" customHeight="1" thickBot="1">
      <c r="B40" s="38" t="s">
        <v>128</v>
      </c>
    </row>
    <row r="41" spans="2:32" s="37" customFormat="1" ht="21.95" customHeight="1">
      <c r="B41" s="280" t="s">
        <v>105</v>
      </c>
      <c r="C41" s="281"/>
      <c r="D41" s="273" t="s">
        <v>56</v>
      </c>
      <c r="E41" s="274"/>
      <c r="F41" s="274"/>
      <c r="G41" s="274"/>
      <c r="H41" s="274"/>
      <c r="I41" s="274"/>
      <c r="J41" s="275"/>
      <c r="K41" s="42"/>
      <c r="L41" s="276">
        <f>Q41+U41+Y41</f>
        <v>63.0259</v>
      </c>
      <c r="M41" s="276"/>
      <c r="N41" s="276"/>
      <c r="O41" s="42" t="s">
        <v>24</v>
      </c>
      <c r="P41" s="43" t="s">
        <v>23</v>
      </c>
      <c r="Q41" s="288">
        <f>D8*F8+D9*F9+D10*F10+D11*F11+D12*F12+D13*F13+D14*F14+D15*F15+D16*F16+D17*F17+D18*F18+D19*F19</f>
        <v>14.0105</v>
      </c>
      <c r="R41" s="288"/>
      <c r="S41" s="44" t="s">
        <v>25</v>
      </c>
      <c r="T41" s="44" t="s">
        <v>22</v>
      </c>
      <c r="U41" s="289">
        <f>N25*P25+N26*P26+N27*P27</f>
        <v>0</v>
      </c>
      <c r="V41" s="289"/>
      <c r="W41" s="44" t="s">
        <v>25</v>
      </c>
      <c r="X41" s="44" t="s">
        <v>1</v>
      </c>
      <c r="Y41" s="268">
        <f>SUM(P33:Q37)</f>
        <v>49.0154</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2.1544272852591999</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2.8839161227968004</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45.585157729914528</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D42:J42"/>
    <mergeCell ref="V38:W38"/>
    <mergeCell ref="L36:M36"/>
    <mergeCell ref="L37:M37"/>
    <mergeCell ref="Z38:AA38"/>
    <mergeCell ref="B41:C44"/>
    <mergeCell ref="D41:J41"/>
    <mergeCell ref="L41:N41"/>
    <mergeCell ref="Q41:R41"/>
    <mergeCell ref="D43:J43"/>
    <mergeCell ref="D44:J44"/>
    <mergeCell ref="Z35:AA35"/>
    <mergeCell ref="V36:W36"/>
    <mergeCell ref="X38:Y38"/>
    <mergeCell ref="X36:Y36"/>
    <mergeCell ref="N36:O36"/>
    <mergeCell ref="T36:U36"/>
    <mergeCell ref="R36:S36"/>
    <mergeCell ref="N37:O37"/>
    <mergeCell ref="P36:Q36"/>
    <mergeCell ref="Z36:AA36"/>
    <mergeCell ref="Z26:AA26"/>
    <mergeCell ref="V33:W33"/>
    <mergeCell ref="Z31:AA32"/>
    <mergeCell ref="Z34:AA34"/>
    <mergeCell ref="X34:Y34"/>
    <mergeCell ref="Z28:AA28"/>
    <mergeCell ref="Z33:AA33"/>
    <mergeCell ref="W43:Y43"/>
    <mergeCell ref="T37:U37"/>
    <mergeCell ref="V37:W37"/>
    <mergeCell ref="X37:Y37"/>
    <mergeCell ref="J37:K37"/>
    <mergeCell ref="R37:S37"/>
    <mergeCell ref="W42:Y42"/>
    <mergeCell ref="Y41:Z41"/>
    <mergeCell ref="U41:V41"/>
    <mergeCell ref="J38:U38"/>
    <mergeCell ref="J36:K36"/>
    <mergeCell ref="P37:Q37"/>
    <mergeCell ref="V35:W35"/>
    <mergeCell ref="Z37:AA37"/>
    <mergeCell ref="Z27:AA27"/>
    <mergeCell ref="V28:W28"/>
    <mergeCell ref="X28:Y28"/>
    <mergeCell ref="V27:W27"/>
    <mergeCell ref="X31:Y32"/>
    <mergeCell ref="X33:Y33"/>
    <mergeCell ref="P27:Q27"/>
    <mergeCell ref="T27:U27"/>
    <mergeCell ref="T31:U32"/>
    <mergeCell ref="T35:U35"/>
    <mergeCell ref="J28:U28"/>
    <mergeCell ref="W44:Y44"/>
    <mergeCell ref="X35:Y35"/>
    <mergeCell ref="J35:K35"/>
    <mergeCell ref="L35:M35"/>
    <mergeCell ref="R35:S35"/>
    <mergeCell ref="N31:O32"/>
    <mergeCell ref="J33:K33"/>
    <mergeCell ref="L33:M33"/>
    <mergeCell ref="V34:W34"/>
    <mergeCell ref="P35:Q35"/>
    <mergeCell ref="N35:O35"/>
    <mergeCell ref="T33:U33"/>
    <mergeCell ref="V31:W32"/>
    <mergeCell ref="J34:K34"/>
    <mergeCell ref="J31:K32"/>
    <mergeCell ref="N34:O34"/>
    <mergeCell ref="R34:S34"/>
    <mergeCell ref="L34:M34"/>
    <mergeCell ref="P34:Q34"/>
    <mergeCell ref="N33:O33"/>
    <mergeCell ref="P31:Q32"/>
    <mergeCell ref="P33:Q33"/>
    <mergeCell ref="L31:M32"/>
    <mergeCell ref="R33:S33"/>
    <mergeCell ref="T34:U34"/>
    <mergeCell ref="X26:Y26"/>
    <mergeCell ref="T25:U25"/>
    <mergeCell ref="R25:S25"/>
    <mergeCell ref="T26:U26"/>
    <mergeCell ref="R26:S26"/>
    <mergeCell ref="R31:S32"/>
    <mergeCell ref="R27:S27"/>
    <mergeCell ref="X27:Y27"/>
    <mergeCell ref="R18:S18"/>
    <mergeCell ref="R19:S19"/>
    <mergeCell ref="T19:U19"/>
    <mergeCell ref="R23:S24"/>
    <mergeCell ref="T23:U24"/>
    <mergeCell ref="T18:U18"/>
    <mergeCell ref="N27:O27"/>
    <mergeCell ref="J25:M25"/>
    <mergeCell ref="J27:M27"/>
    <mergeCell ref="V25:W25"/>
    <mergeCell ref="V26:W26"/>
    <mergeCell ref="P25:Q25"/>
    <mergeCell ref="N25:O25"/>
    <mergeCell ref="N26:O26"/>
    <mergeCell ref="J26:M26"/>
    <mergeCell ref="P26:Q26"/>
    <mergeCell ref="X18:Y18"/>
    <mergeCell ref="AN23:AO23"/>
    <mergeCell ref="Z18:AA18"/>
    <mergeCell ref="AN21:AO21"/>
    <mergeCell ref="Z19:AA19"/>
    <mergeCell ref="Z23:AA24"/>
    <mergeCell ref="Z25:AA25"/>
    <mergeCell ref="Z20:AA20"/>
    <mergeCell ref="X20:Y20"/>
    <mergeCell ref="V20:W20"/>
    <mergeCell ref="X23:Y24"/>
    <mergeCell ref="V18:W18"/>
    <mergeCell ref="V19:W19"/>
    <mergeCell ref="X25:Y25"/>
    <mergeCell ref="V23:W24"/>
    <mergeCell ref="X19:Y19"/>
    <mergeCell ref="N24:O24"/>
    <mergeCell ref="P24:Q24"/>
    <mergeCell ref="B19:C19"/>
    <mergeCell ref="B20:U20"/>
    <mergeCell ref="F19:G19"/>
    <mergeCell ref="J23:M24"/>
    <mergeCell ref="N23:Q23"/>
    <mergeCell ref="N19:O19"/>
    <mergeCell ref="P19:Q19"/>
    <mergeCell ref="L18:M18"/>
    <mergeCell ref="L19:M19"/>
    <mergeCell ref="L17:M17"/>
    <mergeCell ref="R17:S17"/>
    <mergeCell ref="J17:K17"/>
    <mergeCell ref="H17:I17"/>
    <mergeCell ref="J19:K19"/>
    <mergeCell ref="H18:I18"/>
    <mergeCell ref="J18:K18"/>
    <mergeCell ref="P18:Q18"/>
    <mergeCell ref="B17:C17"/>
    <mergeCell ref="D19:E19"/>
    <mergeCell ref="B18:C18"/>
    <mergeCell ref="H19:I19"/>
    <mergeCell ref="D18:E18"/>
    <mergeCell ref="F18:G18"/>
    <mergeCell ref="D17:E17"/>
    <mergeCell ref="F17:G17"/>
    <mergeCell ref="J15:K15"/>
    <mergeCell ref="H14:I14"/>
    <mergeCell ref="L16:M16"/>
    <mergeCell ref="L15:M15"/>
    <mergeCell ref="H16:I16"/>
    <mergeCell ref="J16:K16"/>
    <mergeCell ref="H15:I15"/>
    <mergeCell ref="V16:W16"/>
    <mergeCell ref="X16:Y16"/>
    <mergeCell ref="P14:Q14"/>
    <mergeCell ref="L14:M14"/>
    <mergeCell ref="T16:U16"/>
    <mergeCell ref="R14:S14"/>
    <mergeCell ref="T15:U15"/>
    <mergeCell ref="T14:U14"/>
    <mergeCell ref="N16:O16"/>
    <mergeCell ref="P15:Q15"/>
    <mergeCell ref="V12:W12"/>
    <mergeCell ref="Z14:AA14"/>
    <mergeCell ref="V14:W14"/>
    <mergeCell ref="X14:Y14"/>
    <mergeCell ref="R13:S13"/>
    <mergeCell ref="X17:Y17"/>
    <mergeCell ref="V17:W17"/>
    <mergeCell ref="V10:W10"/>
    <mergeCell ref="N18:O18"/>
    <mergeCell ref="N17:O17"/>
    <mergeCell ref="Z17:AA17"/>
    <mergeCell ref="T17:U17"/>
    <mergeCell ref="R15:S15"/>
    <mergeCell ref="N15:O15"/>
    <mergeCell ref="P17:Q17"/>
    <mergeCell ref="J14:K14"/>
    <mergeCell ref="F10:G10"/>
    <mergeCell ref="P13:Q13"/>
    <mergeCell ref="Z16:AA16"/>
    <mergeCell ref="V15:W15"/>
    <mergeCell ref="X15:Y15"/>
    <mergeCell ref="R16:S16"/>
    <mergeCell ref="P16:Q16"/>
    <mergeCell ref="Z15:AA15"/>
    <mergeCell ref="N14:O14"/>
    <mergeCell ref="B9:C9"/>
    <mergeCell ref="D9:E9"/>
    <mergeCell ref="H10:I10"/>
    <mergeCell ref="D13:E13"/>
    <mergeCell ref="F9:G9"/>
    <mergeCell ref="F11:G11"/>
    <mergeCell ref="B12:C12"/>
    <mergeCell ref="B13:C13"/>
    <mergeCell ref="D12:E12"/>
    <mergeCell ref="D10:E10"/>
    <mergeCell ref="B10:C10"/>
    <mergeCell ref="F12:G12"/>
    <mergeCell ref="B16:C16"/>
    <mergeCell ref="D16:E16"/>
    <mergeCell ref="F16:G16"/>
    <mergeCell ref="B11:C11"/>
    <mergeCell ref="D11:E11"/>
    <mergeCell ref="B15:C15"/>
    <mergeCell ref="B14:C14"/>
    <mergeCell ref="F15:G15"/>
    <mergeCell ref="Z9:AA9"/>
    <mergeCell ref="X9:Y9"/>
    <mergeCell ref="Z12:AA12"/>
    <mergeCell ref="T12:U12"/>
    <mergeCell ref="L13:M13"/>
    <mergeCell ref="V13:W13"/>
    <mergeCell ref="X13:Y13"/>
    <mergeCell ref="Z13:AA13"/>
    <mergeCell ref="Z10:AA10"/>
    <mergeCell ref="Z11:AA11"/>
    <mergeCell ref="X12:Y12"/>
    <mergeCell ref="L11:M11"/>
    <mergeCell ref="N11:O11"/>
    <mergeCell ref="P12:Q12"/>
    <mergeCell ref="D15:E15"/>
    <mergeCell ref="F13:G13"/>
    <mergeCell ref="D14:E14"/>
    <mergeCell ref="F14:G14"/>
    <mergeCell ref="V11:W11"/>
    <mergeCell ref="R11:S11"/>
    <mergeCell ref="P10:Q10"/>
    <mergeCell ref="P11:Q11"/>
    <mergeCell ref="T10:U10"/>
    <mergeCell ref="R10:S10"/>
    <mergeCell ref="T11:U11"/>
    <mergeCell ref="X11:Y11"/>
    <mergeCell ref="X10:Y10"/>
    <mergeCell ref="N10:O10"/>
    <mergeCell ref="T13:U13"/>
    <mergeCell ref="H9:I9"/>
    <mergeCell ref="P9:Q9"/>
    <mergeCell ref="N13:O13"/>
    <mergeCell ref="R12:S12"/>
    <mergeCell ref="L12:M12"/>
    <mergeCell ref="N12:O12"/>
    <mergeCell ref="L10:M10"/>
    <mergeCell ref="J9:K9"/>
    <mergeCell ref="H13:I13"/>
    <mergeCell ref="J13:K13"/>
    <mergeCell ref="J11:K11"/>
    <mergeCell ref="H11:I11"/>
    <mergeCell ref="H12:I12"/>
    <mergeCell ref="J12:K12"/>
    <mergeCell ref="J10:K10"/>
    <mergeCell ref="V9:W9"/>
    <mergeCell ref="T9:U9"/>
    <mergeCell ref="R9:S9"/>
    <mergeCell ref="L9:M9"/>
    <mergeCell ref="N9:O9"/>
    <mergeCell ref="V8:W8"/>
    <mergeCell ref="B2:AA2"/>
    <mergeCell ref="R4:U4"/>
    <mergeCell ref="V4:W4"/>
    <mergeCell ref="X4:Y4"/>
    <mergeCell ref="P8:Q8"/>
    <mergeCell ref="H5:I7"/>
    <mergeCell ref="D5:G5"/>
    <mergeCell ref="H8:I8"/>
    <mergeCell ref="J8:K8"/>
    <mergeCell ref="T8:U8"/>
    <mergeCell ref="D6:E7"/>
    <mergeCell ref="N6:O7"/>
    <mergeCell ref="L8:M8"/>
    <mergeCell ref="X8:Y8"/>
    <mergeCell ref="Z8:AA8"/>
    <mergeCell ref="Z5:AA7"/>
    <mergeCell ref="D8:E8"/>
    <mergeCell ref="F6:G7"/>
    <mergeCell ref="L5:M7"/>
    <mergeCell ref="F8:G8"/>
    <mergeCell ref="B5:C7"/>
    <mergeCell ref="N5:U5"/>
    <mergeCell ref="J5:K7"/>
    <mergeCell ref="N8:O8"/>
    <mergeCell ref="R8:S8"/>
    <mergeCell ref="B8:C8"/>
    <mergeCell ref="AN6:AO6"/>
    <mergeCell ref="P7:Q7"/>
    <mergeCell ref="R7:S7"/>
    <mergeCell ref="T7:U7"/>
    <mergeCell ref="V5:W7"/>
    <mergeCell ref="X5:Y7"/>
    <mergeCell ref="AK6:AL6"/>
    <mergeCell ref="P6:U6"/>
    <mergeCell ref="AH6:AI6"/>
    <mergeCell ref="AD6:AE6"/>
  </mergeCells>
  <phoneticPr fontId="2"/>
  <conditionalFormatting sqref="V20:W20">
    <cfRule type="expression" dxfId="137" priority="51" stopIfTrue="1">
      <formula>$V$20=0</formula>
    </cfRule>
  </conditionalFormatting>
  <conditionalFormatting sqref="X20:Y20">
    <cfRule type="expression" dxfId="136" priority="50" stopIfTrue="1">
      <formula>$X$20=0</formula>
    </cfRule>
  </conditionalFormatting>
  <conditionalFormatting sqref="Z20:AA20">
    <cfRule type="expression" dxfId="135" priority="49" stopIfTrue="1">
      <formula>$Z$20=0</formula>
    </cfRule>
  </conditionalFormatting>
  <conditionalFormatting sqref="V28:W28">
    <cfRule type="expression" dxfId="134" priority="48" stopIfTrue="1">
      <formula>$V$28:$W$28=0</formula>
    </cfRule>
  </conditionalFormatting>
  <conditionalFormatting sqref="V38:W38">
    <cfRule type="expression" dxfId="133" priority="47" stopIfTrue="1">
      <formula>$V$38:$W$38=0</formula>
    </cfRule>
  </conditionalFormatting>
  <conditionalFormatting sqref="Y41:Z41">
    <cfRule type="expression" dxfId="132" priority="46" stopIfTrue="1">
      <formula>$Y$41=0</formula>
    </cfRule>
  </conditionalFormatting>
  <conditionalFormatting sqref="Q41:R41">
    <cfRule type="expression" dxfId="131" priority="45" stopIfTrue="1">
      <formula>$Q$41=0</formula>
    </cfRule>
  </conditionalFormatting>
  <conditionalFormatting sqref="U41:V41">
    <cfRule type="expression" dxfId="130" priority="44" stopIfTrue="1">
      <formula>$U$41=0</formula>
    </cfRule>
  </conditionalFormatting>
  <conditionalFormatting sqref="L41:N41">
    <cfRule type="expression" dxfId="129" priority="43" stopIfTrue="1">
      <formula>$L$41=0</formula>
    </cfRule>
  </conditionalFormatting>
  <conditionalFormatting sqref="X8:Y8">
    <cfRule type="expression" dxfId="128" priority="41" stopIfTrue="1">
      <formula>#VALUE!</formula>
    </cfRule>
    <cfRule type="expression" dxfId="127" priority="42" stopIfTrue="1">
      <formula>#VALUE!</formula>
    </cfRule>
  </conditionalFormatting>
  <conditionalFormatting sqref="X19:Y19">
    <cfRule type="expression" dxfId="126" priority="40" stopIfTrue="1">
      <formula>#VALUE!</formula>
    </cfRule>
  </conditionalFormatting>
  <conditionalFormatting sqref="X8:Y8">
    <cfRule type="expression" dxfId="125" priority="28" stopIfTrue="1">
      <formula>#VALUE!</formula>
    </cfRule>
    <cfRule type="expression" dxfId="124" priority="29" stopIfTrue="1">
      <formula>#VALUE!</formula>
    </cfRule>
  </conditionalFormatting>
  <conditionalFormatting sqref="X19:Y19">
    <cfRule type="expression" dxfId="123" priority="2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1.8[H28]</oddHeader>
    <oddFooter>&amp;Cⓒ　2013 hyoukakyoukai.All right reserved</oddFooter>
  </headerFooter>
  <drawing r:id="rId2"/>
  <legacyDrawing r:id="rId3"/>
</worksheet>
</file>

<file path=xl/worksheets/sheet8.xml><?xml version="1.0" encoding="utf-8"?>
<worksheet xmlns="http://schemas.openxmlformats.org/spreadsheetml/2006/main" xmlns:r="http://schemas.openxmlformats.org/officeDocument/2006/relationships">
  <sheetPr codeName="Sheet8"/>
  <dimension ref="B1:AO106"/>
  <sheetViews>
    <sheetView showGridLines="0" view="pageBreakPreview" zoomScaleNormal="100" zoomScaleSheetLayoutView="100" workbookViewId="0">
      <selection activeCell="B8" sqref="B8:C8"/>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113</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53">
        <f ca="1">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0.49099999999999999</v>
      </c>
      <c r="W4" s="354"/>
      <c r="X4" s="353">
        <f ca="1">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0.76300000000000001</v>
      </c>
      <c r="Y4" s="354"/>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c r="C8" s="349"/>
      <c r="D8" s="194"/>
      <c r="E8" s="195"/>
      <c r="F8" s="195"/>
      <c r="G8" s="221"/>
      <c r="H8" s="226"/>
      <c r="I8" s="226"/>
      <c r="J8" s="226"/>
      <c r="K8" s="226"/>
      <c r="L8" s="199"/>
      <c r="M8" s="199"/>
      <c r="N8" s="305"/>
      <c r="O8" s="306"/>
      <c r="P8" s="307"/>
      <c r="Q8" s="308"/>
      <c r="R8" s="347"/>
      <c r="S8" s="348"/>
      <c r="T8" s="317"/>
      <c r="U8" s="307"/>
      <c r="V8" s="207" t="str">
        <f>IF(D8="","",AD8)</f>
        <v/>
      </c>
      <c r="W8" s="207"/>
      <c r="X8" s="207" t="str">
        <f t="shared" ref="X8:X19" si="0">IF(D8="","",IF(ISERROR(AE8),"-",AE8))</f>
        <v/>
      </c>
      <c r="Y8" s="207"/>
      <c r="Z8" s="207" t="str">
        <f>IF(D8="","",D8*F8*AN8)</f>
        <v/>
      </c>
      <c r="AA8" s="208"/>
      <c r="AD8" s="37" t="e">
        <f>D8*F8*J8*$V$4*AH8</f>
        <v>#VALUE!</v>
      </c>
      <c r="AE8" s="37" t="e">
        <f>D8*F8*J8*$X$4*AI8</f>
        <v>#VALUE!</v>
      </c>
      <c r="AG8" s="40" t="b">
        <v>0</v>
      </c>
      <c r="AH8" s="37" t="str">
        <f>IF(AG8=TRUE,"0.93",IF(ISERROR(AK8),"エラー",IF(AK8&gt;0.93,"0.93",AK8)))</f>
        <v>エラー</v>
      </c>
      <c r="AI8" s="37" t="str">
        <f>IF(AG8=TRUE,"0.51",IF(ISERROR(AL8),"エラー",IF(AL8&gt;0.72,"0.72",AL8)))</f>
        <v>エラー</v>
      </c>
      <c r="AK8" s="37" t="e">
        <f ca="1">IF(共通条件・結果!$AA$7="８（Ⅵ）",0.01*(16+19*(2*R8+T8)/P8),0.01*(16+24*(2*R8+T8)/P8))</f>
        <v>#DIV/0!</v>
      </c>
      <c r="AL8" s="37" t="e">
        <f ca="1">0.01*(5+20*(3*R8+T8)/P8)</f>
        <v>#DIV/0!</v>
      </c>
      <c r="AN8" s="37">
        <f ca="1">IF(共通条件・結果!$AA$7="８地域",H8,IF(AO8="FALSE",H8,IF(L8="風除室",1/((1/H8)+0.1),0.5*H8+0.5*(1/((1/H8)+AO8)))))</f>
        <v>0</v>
      </c>
      <c r="AO8" s="39" t="str">
        <f t="shared" ref="AO8:AO19" si="1">IF(L8="","FALSE",IF(L8="雨戸",0.1,IF(L8="ｼｬｯﾀｰ",0.1,IF(L8="障子",0.18,IF(L8="風除室",0.1)))))</f>
        <v>FALSE</v>
      </c>
    </row>
    <row r="9" spans="2:41" s="37" customFormat="1" ht="21.95" customHeight="1">
      <c r="B9" s="218"/>
      <c r="C9" s="350"/>
      <c r="D9" s="318"/>
      <c r="E9" s="278"/>
      <c r="F9" s="278"/>
      <c r="G9" s="279"/>
      <c r="H9" s="254"/>
      <c r="I9" s="254"/>
      <c r="J9" s="254"/>
      <c r="K9" s="254"/>
      <c r="L9" s="227" t="s">
        <v>65</v>
      </c>
      <c r="M9" s="227"/>
      <c r="N9" s="300"/>
      <c r="O9" s="301"/>
      <c r="P9" s="297"/>
      <c r="Q9" s="298"/>
      <c r="R9" s="302"/>
      <c r="S9" s="303"/>
      <c r="T9" s="296"/>
      <c r="U9" s="297"/>
      <c r="V9" s="174" t="str">
        <f t="shared" ref="V9:V19" si="2">IF(D9="","",AD9)</f>
        <v/>
      </c>
      <c r="W9" s="174"/>
      <c r="X9" s="174" t="str">
        <f t="shared" si="0"/>
        <v/>
      </c>
      <c r="Y9" s="174"/>
      <c r="Z9" s="174" t="str">
        <f t="shared" ref="Z9:Z19" si="3">IF(D9="","",D9*F9*AN9)</f>
        <v/>
      </c>
      <c r="AA9" s="175"/>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ca="1">IF(共通条件・結果!$AA$7="８（Ⅵ）",0.01*(16+19*(2*R9+T9)/P9),0.01*(16+24*(2*R9+T9)/P9))</f>
        <v>#DIV/0!</v>
      </c>
      <c r="AL9" s="37" t="e">
        <f t="shared" ref="AL9:AL19" si="8">0.01*(5+20*(3*R9+T9)/P9)</f>
        <v>#DIV/0!</v>
      </c>
      <c r="AN9" s="37" t="e">
        <f ca="1">IF(共通条件・結果!$AA$7="８地域",H9,IF(AO9="FALSE",H9,IF(L9="風除室",1/((1/H9)+0.1),0.5*H9+0.5*(1/((1/H9)+AO9)))))</f>
        <v>#DIV/0!</v>
      </c>
      <c r="AO9" s="39" t="b">
        <f t="shared" si="1"/>
        <v>0</v>
      </c>
    </row>
    <row r="10" spans="2:41" s="37" customFormat="1" ht="21.95" customHeight="1">
      <c r="B10" s="218"/>
      <c r="C10" s="350"/>
      <c r="D10" s="318"/>
      <c r="E10" s="278"/>
      <c r="F10" s="278"/>
      <c r="G10" s="279"/>
      <c r="H10" s="254"/>
      <c r="I10" s="254"/>
      <c r="J10" s="254"/>
      <c r="K10" s="254"/>
      <c r="L10" s="227" t="s">
        <v>65</v>
      </c>
      <c r="M10" s="227"/>
      <c r="N10" s="300"/>
      <c r="O10" s="301"/>
      <c r="P10" s="298"/>
      <c r="Q10" s="299"/>
      <c r="R10" s="295"/>
      <c r="S10" s="299"/>
      <c r="T10" s="295"/>
      <c r="U10" s="296"/>
      <c r="V10" s="174" t="str">
        <f t="shared" si="2"/>
        <v/>
      </c>
      <c r="W10" s="174"/>
      <c r="X10" s="174" t="str">
        <f t="shared" si="0"/>
        <v/>
      </c>
      <c r="Y10" s="174"/>
      <c r="Z10" s="174" t="str">
        <f t="shared" si="3"/>
        <v/>
      </c>
      <c r="AA10" s="175"/>
      <c r="AD10" s="37" t="e">
        <f t="shared" si="4"/>
        <v>#VALUE!</v>
      </c>
      <c r="AE10" s="37" t="e">
        <f t="shared" si="5"/>
        <v>#VALUE!</v>
      </c>
      <c r="AG10" s="40" t="b">
        <v>0</v>
      </c>
      <c r="AH10" s="37" t="str">
        <f t="shared" si="6"/>
        <v>エラー</v>
      </c>
      <c r="AI10" s="37" t="str">
        <f t="shared" si="7"/>
        <v>エラー</v>
      </c>
      <c r="AK10" s="37" t="e">
        <f ca="1">IF(共通条件・結果!$AA$7="８（Ⅵ）",0.01*(16+19*(2*R10+T10)/P10),0.01*(16+24*(2*R10+T10)/P10))</f>
        <v>#DIV/0!</v>
      </c>
      <c r="AL10" s="37" t="e">
        <f t="shared" si="8"/>
        <v>#DIV/0!</v>
      </c>
      <c r="AN10" s="37" t="e">
        <f ca="1">IF(共通条件・結果!$AA$7="８地域",H10,IF(AO10="FALSE",H10,IF(L10="風除室",1/((1/H10)+0.1),0.5*H10+0.5*(1/((1/H10)+AO10)))))</f>
        <v>#DIV/0!</v>
      </c>
      <c r="AO10" s="39" t="b">
        <f t="shared" si="1"/>
        <v>0</v>
      </c>
    </row>
    <row r="11" spans="2:41" s="37" customFormat="1" ht="21.95" customHeight="1">
      <c r="B11" s="218"/>
      <c r="C11" s="350"/>
      <c r="D11" s="318"/>
      <c r="E11" s="278"/>
      <c r="F11" s="278"/>
      <c r="G11" s="279"/>
      <c r="H11" s="254"/>
      <c r="I11" s="254"/>
      <c r="J11" s="254"/>
      <c r="K11" s="254"/>
      <c r="L11" s="227" t="s">
        <v>65</v>
      </c>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ca="1">IF(共通条件・結果!$AA$7="８（Ⅵ）",0.01*(16+19*(2*R11+T11)/P11),0.01*(16+24*(2*R11+T11)/P11))</f>
        <v>#DIV/0!</v>
      </c>
      <c r="AL11" s="37" t="e">
        <f t="shared" si="8"/>
        <v>#DIV/0!</v>
      </c>
      <c r="AN11" s="37" t="e">
        <f ca="1">IF(共通条件・結果!$AA$7="８地域",H11,IF(AO11="FALSE",H11,IF(L11="風除室",1/((1/H11)+0.1),0.5*H11+0.5*(1/((1/H11)+AO11)))))</f>
        <v>#DIV/0!</v>
      </c>
      <c r="AO11" s="39" t="b">
        <f t="shared" si="1"/>
        <v>0</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 ca="1">IF(共通条件・結果!$AA$7="８（Ⅵ）",0.01*(16+19*(2*R12+T12)/P12),0.01*(16+24*(2*R12+T12)/P12))</f>
        <v>#DIV/0!</v>
      </c>
      <c r="AL12" s="37" t="e">
        <f ca="1">0.01*(5+20*(3*R12+T12)/P12)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22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 ca="1">IF(共通条件・結果!$AA$7="８（Ⅵ）",0.01*(16+19*(2*R13+T13)/P13),0.01*(16+24*(2*R13+T13)/P13))</f>
        <v>#DIV/0!</v>
      </c>
      <c r="AL13" s="37" t="e">
        <f ca="1">0.01*(5+20*(3*R13+T13)/P13)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35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ca="1">IF(共通条件・結果!$AA$7="８（Ⅵ）",0.01*(16+19*(2*R14+T14)/P14),0.01*(16+24*(2*R14+T14)/P14))</f>
        <v>#DIV/0!</v>
      </c>
      <c r="AL14" s="37" t="e">
        <f t="shared" si="8"/>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ca="1">IF(共通条件・結果!$AA$7="８（Ⅵ）",0.01*(16+19*(2*R15+T15)/P15),0.01*(16+24*(2*R15+T15)/P15))</f>
        <v>#DIV/0!</v>
      </c>
      <c r="AL15" s="37" t="e">
        <f t="shared" si="8"/>
        <v>#DIV/0!</v>
      </c>
      <c r="AN15" s="37" t="e">
        <f ca="1">IF(共通条件・結果!$AA$7="８地域",H15,IF(AO15="FALSE",H15,IF(L15="風除室",1/((1/H15)+0.1),0.5*H15+0.5*(1/((1/H15)+AO15)))))</f>
        <v>#DIV/0!</v>
      </c>
      <c r="AO15" s="39" t="b">
        <f t="shared" si="1"/>
        <v>0</v>
      </c>
    </row>
    <row r="16" spans="2:41" s="37" customFormat="1" ht="21.95" customHeight="1">
      <c r="B16" s="218"/>
      <c r="C16" s="35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ca="1">IF(共通条件・結果!$AA$7="８（Ⅵ）",0.01*(16+19*(2*R16+T16)/P16),0.01*(16+24*(2*R16+T16)/P16))</f>
        <v>#DIV/0!</v>
      </c>
      <c r="AL16" s="37" t="e">
        <f t="shared" si="8"/>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ca="1">IF(共通条件・結果!$AA$7="８（Ⅵ）",0.01*(16+19*(2*R17+T17)/P17),0.01*(16+24*(2*R17+T17)/P17))</f>
        <v>#DIV/0!</v>
      </c>
      <c r="AL17" s="37" t="e">
        <f t="shared" si="8"/>
        <v>#DIV/0!</v>
      </c>
      <c r="AN17" s="37" t="e">
        <f ca="1">IF(共通条件・結果!$AA$7="８地域",H17,IF(AO17="FALSE",H17,IF(L17="風除室",1/((1/H17)+0.1),0.5*H17+0.5*(1/((1/H17)+AO17)))))</f>
        <v>#DIV/0!</v>
      </c>
      <c r="AO17" s="39" t="b">
        <f t="shared" si="1"/>
        <v>0</v>
      </c>
    </row>
    <row r="18" spans="2:41" s="37" customFormat="1" ht="21.95" customHeight="1">
      <c r="B18" s="218"/>
      <c r="C18" s="35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ca="1">IF(共通条件・結果!$AA$7="８（Ⅵ）",0.01*(16+19*(2*R18+T18)/P18),0.01*(16+24*(2*R18+T18)/P18))</f>
        <v>#DIV/0!</v>
      </c>
      <c r="AL18" s="37" t="e">
        <f t="shared" si="8"/>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ca="1">IF(共通条件・結果!$AA$7="８（Ⅵ）",0.01*(16+19*(2*R19+T19)/P19),0.01*(16+24*(2*R19+T19)/P19))</f>
        <v>#DIV/0!</v>
      </c>
      <c r="AL19" s="37" t="e">
        <f t="shared" si="8"/>
        <v>#DIV/0!</v>
      </c>
      <c r="AN19" s="37" t="e">
        <f ca="1">IF(共通条件・結果!$AA$7="８地域",H19,IF(AO19="FALSE",H19,IF(L19="風除室",1/((1/H19)+0.1),0.5*H19+0.5*(1/((1/H19)+AO19)))))</f>
        <v>#DIV/0!</v>
      </c>
      <c r="AO19" s="39" t="b">
        <f t="shared" si="1"/>
        <v>0</v>
      </c>
    </row>
    <row r="20" spans="2:41" s="37" customFormat="1" ht="21.95" customHeight="1" thickBot="1">
      <c r="B20" s="197" t="s">
        <v>129</v>
      </c>
      <c r="C20" s="198"/>
      <c r="D20" s="198"/>
      <c r="E20" s="198"/>
      <c r="F20" s="198"/>
      <c r="G20" s="198"/>
      <c r="H20" s="198"/>
      <c r="I20" s="198"/>
      <c r="J20" s="198"/>
      <c r="K20" s="198"/>
      <c r="L20" s="198"/>
      <c r="M20" s="198"/>
      <c r="N20" s="198"/>
      <c r="O20" s="198"/>
      <c r="P20" s="198"/>
      <c r="Q20" s="198"/>
      <c r="R20" s="198"/>
      <c r="S20" s="198"/>
      <c r="T20" s="198"/>
      <c r="U20" s="198"/>
      <c r="V20" s="184">
        <f>SUM(V8:W19)</f>
        <v>0</v>
      </c>
      <c r="W20" s="184"/>
      <c r="X20" s="184">
        <f>SUM(X8:Y19)</f>
        <v>0</v>
      </c>
      <c r="Y20" s="184"/>
      <c r="Z20" s="184">
        <f>SUM(Z8:AA19)</f>
        <v>0</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c r="K25" s="241"/>
      <c r="L25" s="241"/>
      <c r="M25" s="233"/>
      <c r="N25" s="194"/>
      <c r="O25" s="195"/>
      <c r="P25" s="195"/>
      <c r="Q25" s="221"/>
      <c r="R25" s="226"/>
      <c r="S25" s="226"/>
      <c r="T25" s="212"/>
      <c r="U25" s="212"/>
      <c r="V25" s="172" t="str">
        <f>IF(N25="","",N25*P25*R25*0.034*$V$4)</f>
        <v/>
      </c>
      <c r="W25" s="172"/>
      <c r="X25" s="172" t="str">
        <f>IF(N25="","",IF(ISERROR(N25*P25*R25*0.034*$X$4),"-",N25*P25*R25*0.034*$X$4))</f>
        <v/>
      </c>
      <c r="Y25" s="172"/>
      <c r="Z25" s="172" t="str">
        <f>IF(N25="","",N25*P25*AN25)</f>
        <v/>
      </c>
      <c r="AA25" s="173"/>
      <c r="AN25" s="37">
        <f ca="1">IF(共通条件・結果!$AA$7="８地域",R25,IF(AO25="FALSE",R25,IF(T25="風除室",1/((1/R25)+0.1),0.5*R25+0.5*(1/((1/R25)+AO25)))))</f>
        <v>0</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147</v>
      </c>
      <c r="K28" s="198"/>
      <c r="L28" s="198"/>
      <c r="M28" s="198"/>
      <c r="N28" s="198"/>
      <c r="O28" s="198"/>
      <c r="P28" s="198"/>
      <c r="Q28" s="198"/>
      <c r="R28" s="198"/>
      <c r="S28" s="198"/>
      <c r="T28" s="198"/>
      <c r="U28" s="231"/>
      <c r="V28" s="184">
        <f>SUM(V25:W27)</f>
        <v>0</v>
      </c>
      <c r="W28" s="184"/>
      <c r="X28" s="184">
        <f>SUM(X25:Y27)</f>
        <v>0</v>
      </c>
      <c r="Y28" s="184"/>
      <c r="Z28" s="184">
        <f>SUM(Z25:AA27)</f>
        <v>0</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c r="K33" s="233"/>
      <c r="L33" s="246"/>
      <c r="M33" s="247"/>
      <c r="N33" s="246"/>
      <c r="O33" s="247"/>
      <c r="P33" s="244" t="str">
        <f>IF(L33="","",L33-N33)</f>
        <v/>
      </c>
      <c r="Q33" s="245"/>
      <c r="R33" s="226"/>
      <c r="S33" s="226"/>
      <c r="T33" s="230"/>
      <c r="U33" s="230"/>
      <c r="V33" s="172" t="str">
        <f>IF(P33="","",IF(AD33=TRUE,0,P33*R33*0.034*$V$4))</f>
        <v/>
      </c>
      <c r="W33" s="172"/>
      <c r="X33" s="181" t="str">
        <f>IF(P33="","",IF(ISERROR(P33*R33*0.034*$X$4),"-",IF(AD33=TRUE,0,P33*R33*0.034*$X$4)))</f>
        <v/>
      </c>
      <c r="Y33" s="182"/>
      <c r="Z33" s="172" t="str">
        <f>IF(R33="","",IF(AD33=TRUE,0.7*R33*P33,R33*P33))</f>
        <v/>
      </c>
      <c r="AA33" s="173"/>
      <c r="AD33" s="40" t="b">
        <v>0</v>
      </c>
      <c r="AE33" s="40">
        <f>IF(AD33=TRUE,0.7,1)</f>
        <v>1</v>
      </c>
      <c r="AF33" s="40" t="str">
        <f>IF(AD33=TRUE,0,"セル")</f>
        <v>セル</v>
      </c>
    </row>
    <row r="34" spans="2:32" s="37" customFormat="1" ht="21.95" customHeight="1">
      <c r="C34" s="41"/>
      <c r="D34" s="41"/>
      <c r="E34" s="41"/>
      <c r="F34" s="41"/>
      <c r="G34" s="41"/>
      <c r="H34" s="41"/>
      <c r="I34" s="41"/>
      <c r="J34" s="218"/>
      <c r="K34" s="220"/>
      <c r="L34" s="192"/>
      <c r="M34" s="193"/>
      <c r="N34" s="192"/>
      <c r="O34" s="193"/>
      <c r="P34" s="242" t="str">
        <f>IF(L34="","",L34-N34)</f>
        <v/>
      </c>
      <c r="Q34" s="243"/>
      <c r="R34" s="192"/>
      <c r="S34" s="193"/>
      <c r="T34" s="228"/>
      <c r="U34" s="229"/>
      <c r="V34" s="176" t="str">
        <f>IF(P34="","",IF(AD34=TRUE,0,P34*R34*0.034*$V$4))</f>
        <v/>
      </c>
      <c r="W34" s="177"/>
      <c r="X34" s="176" t="str">
        <f>IF(P34="","",IF(ISERROR(P34*R34*0.034*$X$4),"-",IF(AD34=TRUE,0,P34*R34*0.034*$X$4)))</f>
        <v/>
      </c>
      <c r="Y34" s="177"/>
      <c r="Z34" s="176" t="str">
        <f>IF(R34="","",IF(AD34=TRUE,0.7*R34*P34,R34*P34))</f>
        <v/>
      </c>
      <c r="AA34" s="178"/>
      <c r="AD34" s="40" t="b">
        <v>0</v>
      </c>
      <c r="AE34" s="40">
        <f>IF(AD34=TRUE,0.7,1)</f>
        <v>1</v>
      </c>
      <c r="AF34" s="40" t="str">
        <f>IF(AD34=TRUE,0,"セル")</f>
        <v>セル</v>
      </c>
    </row>
    <row r="35" spans="2:32" s="37" customFormat="1" ht="21.95" customHeight="1">
      <c r="C35" s="41"/>
      <c r="D35" s="41"/>
      <c r="E35" s="41"/>
      <c r="F35" s="41"/>
      <c r="G35" s="41"/>
      <c r="H35" s="41"/>
      <c r="I35" s="41"/>
      <c r="J35" s="218"/>
      <c r="K35" s="220"/>
      <c r="L35" s="192"/>
      <c r="M35" s="193"/>
      <c r="N35" s="192"/>
      <c r="O35" s="193"/>
      <c r="P35" s="242" t="str">
        <f>IF(L35="","",L35-N35)</f>
        <v/>
      </c>
      <c r="Q35" s="243"/>
      <c r="R35" s="192"/>
      <c r="S35" s="193"/>
      <c r="T35" s="228"/>
      <c r="U35" s="229"/>
      <c r="V35" s="176" t="str">
        <f>IF(P35="","",IF(AD35=TRUE,0,P35*R35*0.034*$V$4))</f>
        <v/>
      </c>
      <c r="W35" s="177"/>
      <c r="X35" s="176" t="str">
        <f>IF(P35="","",IF(ISERROR(P35*R35*0.034*$X$4),"-",IF(AD35=TRUE,0,P35*R35*0.034*$X$4)))</f>
        <v/>
      </c>
      <c r="Y35" s="177"/>
      <c r="Z35" s="176" t="str">
        <f>IF(R35="","",IF(AD35=TRUE,0.7*R35*P35,R35*P35))</f>
        <v/>
      </c>
      <c r="AA35" s="178"/>
      <c r="AD35" s="40" t="b">
        <v>0</v>
      </c>
      <c r="AE35" s="40">
        <f>IF(AD35=TRUE,0.7,1)</f>
        <v>1</v>
      </c>
      <c r="AF35" s="40" t="str">
        <f>IF(AD35=TRUE,0,"セル")</f>
        <v>セル</v>
      </c>
    </row>
    <row r="36" spans="2:32" s="37" customFormat="1" ht="21.95" customHeight="1">
      <c r="C36" s="41"/>
      <c r="D36" s="41"/>
      <c r="E36" s="41"/>
      <c r="F36" s="41"/>
      <c r="G36" s="41"/>
      <c r="H36" s="41"/>
      <c r="I36" s="41"/>
      <c r="J36" s="218"/>
      <c r="K36" s="220"/>
      <c r="L36" s="192"/>
      <c r="M36" s="193"/>
      <c r="N36" s="192"/>
      <c r="O36" s="193"/>
      <c r="P36" s="242" t="str">
        <f>IF(L36="","",L36-N36)</f>
        <v/>
      </c>
      <c r="Q36" s="243"/>
      <c r="R36" s="254"/>
      <c r="S36" s="254"/>
      <c r="T36" s="253"/>
      <c r="U36" s="253"/>
      <c r="V36" s="174" t="str">
        <f>IF(P36="","",IF(AD36=TRUE,0,P36*R36*0.034*$V$4))</f>
        <v/>
      </c>
      <c r="W36" s="174"/>
      <c r="X36" s="176" t="str">
        <f>IF(P36="","",IF(ISERROR(P36*R36*0.034*$X$4),"-",IF(AD36=TRUE,0,P36*R36*0.034*$X$4)))</f>
        <v/>
      </c>
      <c r="Y36" s="177"/>
      <c r="Z36" s="174" t="str">
        <f>IF(R36="","",IF(AD36=TRUE,0.7*R36*P36,R36*P36))</f>
        <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130</v>
      </c>
      <c r="K38" s="198"/>
      <c r="L38" s="198"/>
      <c r="M38" s="198"/>
      <c r="N38" s="198"/>
      <c r="O38" s="198"/>
      <c r="P38" s="198"/>
      <c r="Q38" s="198"/>
      <c r="R38" s="198"/>
      <c r="S38" s="198"/>
      <c r="T38" s="198"/>
      <c r="U38" s="231"/>
      <c r="V38" s="184">
        <f>SUM(V33:W37)</f>
        <v>0</v>
      </c>
      <c r="W38" s="184"/>
      <c r="X38" s="184">
        <f>SUM(X33:Y37)</f>
        <v>0</v>
      </c>
      <c r="Y38" s="184"/>
      <c r="Z38" s="184">
        <f>SUM(Z33:AA37)</f>
        <v>0</v>
      </c>
      <c r="AA38" s="189"/>
    </row>
    <row r="39" spans="2:32" s="37" customFormat="1" ht="9.9499999999999993" customHeight="1"/>
    <row r="40" spans="2:32" s="37" customFormat="1" ht="21.95" customHeight="1" thickBot="1">
      <c r="B40" s="38" t="s">
        <v>131</v>
      </c>
    </row>
    <row r="41" spans="2:32" s="37" customFormat="1" ht="21.95" customHeight="1">
      <c r="B41" s="280" t="s">
        <v>106</v>
      </c>
      <c r="C41" s="281"/>
      <c r="D41" s="273" t="s">
        <v>56</v>
      </c>
      <c r="E41" s="274"/>
      <c r="F41" s="274"/>
      <c r="G41" s="274"/>
      <c r="H41" s="274"/>
      <c r="I41" s="274"/>
      <c r="J41" s="275"/>
      <c r="K41" s="42"/>
      <c r="L41" s="276">
        <f>Q41+U41+Y41</f>
        <v>0</v>
      </c>
      <c r="M41" s="276"/>
      <c r="N41" s="276"/>
      <c r="O41" s="42" t="s">
        <v>24</v>
      </c>
      <c r="P41" s="43" t="s">
        <v>23</v>
      </c>
      <c r="Q41" s="288">
        <f>D8*F8+D9*F9+D10*F10+D11*F11+D12*F12+D13*F13+D14*F14+D15*F15+D16*F16+D17*F17+D18*F18+D19*F19</f>
        <v>0</v>
      </c>
      <c r="R41" s="288"/>
      <c r="S41" s="44" t="s">
        <v>25</v>
      </c>
      <c r="T41" s="44" t="s">
        <v>22</v>
      </c>
      <c r="U41" s="289">
        <f>N25*P25+N26*P26+N27*P27</f>
        <v>0</v>
      </c>
      <c r="V41" s="289"/>
      <c r="W41" s="44" t="s">
        <v>25</v>
      </c>
      <c r="X41" s="44" t="s">
        <v>1</v>
      </c>
      <c r="Y41" s="268">
        <f>SUM(P33:Q37)</f>
        <v>0</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0</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0</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0</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L37:M37"/>
    <mergeCell ref="D43:J43"/>
    <mergeCell ref="J37:K37"/>
    <mergeCell ref="B41:C44"/>
    <mergeCell ref="D41:J41"/>
    <mergeCell ref="L41:N41"/>
    <mergeCell ref="W44:Y44"/>
    <mergeCell ref="W43:Y43"/>
    <mergeCell ref="W42:Y42"/>
    <mergeCell ref="D44:J44"/>
    <mergeCell ref="D42:J42"/>
    <mergeCell ref="U41:V41"/>
    <mergeCell ref="Y41:Z41"/>
    <mergeCell ref="X38:Y38"/>
    <mergeCell ref="J38:U38"/>
    <mergeCell ref="Q41:R41"/>
    <mergeCell ref="Z36:AA36"/>
    <mergeCell ref="N37:O37"/>
    <mergeCell ref="P37:Q37"/>
    <mergeCell ref="X36:Y36"/>
    <mergeCell ref="R36:S36"/>
    <mergeCell ref="V38:W38"/>
    <mergeCell ref="V35:W35"/>
    <mergeCell ref="V34:W34"/>
    <mergeCell ref="T35:U35"/>
    <mergeCell ref="J35:K35"/>
    <mergeCell ref="L35:M35"/>
    <mergeCell ref="N35:O35"/>
    <mergeCell ref="J36:K36"/>
    <mergeCell ref="L36:M36"/>
    <mergeCell ref="N36:O36"/>
    <mergeCell ref="P35:Q35"/>
    <mergeCell ref="R35:S35"/>
    <mergeCell ref="Z34:AA34"/>
    <mergeCell ref="X35:Y35"/>
    <mergeCell ref="Z35:AA35"/>
    <mergeCell ref="T34:U34"/>
    <mergeCell ref="X34:Y34"/>
    <mergeCell ref="R34:S34"/>
    <mergeCell ref="P36:Q36"/>
    <mergeCell ref="X37:Y37"/>
    <mergeCell ref="V37:W37"/>
    <mergeCell ref="R37:S37"/>
    <mergeCell ref="T37:U37"/>
    <mergeCell ref="T36:U36"/>
    <mergeCell ref="V36:W36"/>
    <mergeCell ref="V28:W28"/>
    <mergeCell ref="X33:Y33"/>
    <mergeCell ref="V27:W27"/>
    <mergeCell ref="V33:W33"/>
    <mergeCell ref="X28:Y28"/>
    <mergeCell ref="Z38:AA38"/>
    <mergeCell ref="Z33:AA33"/>
    <mergeCell ref="Z28:AA28"/>
    <mergeCell ref="Z31:AA32"/>
    <mergeCell ref="Z37:AA37"/>
    <mergeCell ref="N25:O25"/>
    <mergeCell ref="J25:M25"/>
    <mergeCell ref="J34:K34"/>
    <mergeCell ref="L34:M34"/>
    <mergeCell ref="N34:O34"/>
    <mergeCell ref="P34:Q34"/>
    <mergeCell ref="L31:M32"/>
    <mergeCell ref="P31:Q32"/>
    <mergeCell ref="R31:S32"/>
    <mergeCell ref="J27:M27"/>
    <mergeCell ref="T25:U25"/>
    <mergeCell ref="R27:S27"/>
    <mergeCell ref="R26:S26"/>
    <mergeCell ref="P25:Q25"/>
    <mergeCell ref="P26:Q26"/>
    <mergeCell ref="R25:S25"/>
    <mergeCell ref="X26:Y26"/>
    <mergeCell ref="X31:Y32"/>
    <mergeCell ref="T31:U32"/>
    <mergeCell ref="T33:U33"/>
    <mergeCell ref="L33:M33"/>
    <mergeCell ref="N33:O33"/>
    <mergeCell ref="P27:Q27"/>
    <mergeCell ref="P33:Q33"/>
    <mergeCell ref="R33:S33"/>
    <mergeCell ref="N31:O32"/>
    <mergeCell ref="AN23:AO23"/>
    <mergeCell ref="X23:Y24"/>
    <mergeCell ref="Z23:AA24"/>
    <mergeCell ref="J33:K33"/>
    <mergeCell ref="X27:Y27"/>
    <mergeCell ref="Z25:AA25"/>
    <mergeCell ref="Z26:AA26"/>
    <mergeCell ref="Z27:AA27"/>
    <mergeCell ref="V31:W32"/>
    <mergeCell ref="X25:Y25"/>
    <mergeCell ref="J31:K32"/>
    <mergeCell ref="J28:U28"/>
    <mergeCell ref="N27:O27"/>
    <mergeCell ref="J26:M26"/>
    <mergeCell ref="N26:O26"/>
    <mergeCell ref="N24:O24"/>
    <mergeCell ref="P24:Q24"/>
    <mergeCell ref="R23:S24"/>
    <mergeCell ref="T23:U24"/>
    <mergeCell ref="T27:U27"/>
    <mergeCell ref="T26:U26"/>
    <mergeCell ref="AN21:AO21"/>
    <mergeCell ref="B20:U20"/>
    <mergeCell ref="V20:W20"/>
    <mergeCell ref="X20:Y20"/>
    <mergeCell ref="Z20:AA20"/>
    <mergeCell ref="N23:Q23"/>
    <mergeCell ref="V23:W24"/>
    <mergeCell ref="V26:W26"/>
    <mergeCell ref="V25:W25"/>
    <mergeCell ref="L17:M17"/>
    <mergeCell ref="J18:K18"/>
    <mergeCell ref="L18:M18"/>
    <mergeCell ref="N17:O17"/>
    <mergeCell ref="J17:K17"/>
    <mergeCell ref="J23:M24"/>
    <mergeCell ref="N19:O19"/>
    <mergeCell ref="P17:Q17"/>
    <mergeCell ref="R18:S18"/>
    <mergeCell ref="B19:C19"/>
    <mergeCell ref="D19:E19"/>
    <mergeCell ref="F19:G19"/>
    <mergeCell ref="H19:I19"/>
    <mergeCell ref="B18:C18"/>
    <mergeCell ref="D18:E18"/>
    <mergeCell ref="F18:G18"/>
    <mergeCell ref="H18:I18"/>
    <mergeCell ref="Z19:AA19"/>
    <mergeCell ref="R17:S17"/>
    <mergeCell ref="P19:Q19"/>
    <mergeCell ref="J19:K19"/>
    <mergeCell ref="L19:M19"/>
    <mergeCell ref="T17:U17"/>
    <mergeCell ref="T18:U18"/>
    <mergeCell ref="R19:S19"/>
    <mergeCell ref="T19:U19"/>
    <mergeCell ref="Z17:AA17"/>
    <mergeCell ref="Z16:AA16"/>
    <mergeCell ref="X16:Y16"/>
    <mergeCell ref="V19:W19"/>
    <mergeCell ref="X19:Y19"/>
    <mergeCell ref="Z18:AA18"/>
    <mergeCell ref="V17:W17"/>
    <mergeCell ref="X18:Y18"/>
    <mergeCell ref="V18:W18"/>
    <mergeCell ref="P16:Q16"/>
    <mergeCell ref="R16:S16"/>
    <mergeCell ref="T16:U16"/>
    <mergeCell ref="P18:Q18"/>
    <mergeCell ref="V16:W16"/>
    <mergeCell ref="X17:Y17"/>
    <mergeCell ref="N10:O10"/>
    <mergeCell ref="L13:M13"/>
    <mergeCell ref="L11:M11"/>
    <mergeCell ref="Z13:AA13"/>
    <mergeCell ref="X12:Y12"/>
    <mergeCell ref="X13:Y13"/>
    <mergeCell ref="R12:S12"/>
    <mergeCell ref="V13:W13"/>
    <mergeCell ref="Z11:AA11"/>
    <mergeCell ref="V12:W12"/>
    <mergeCell ref="Z12:AA12"/>
    <mergeCell ref="X11:Y11"/>
    <mergeCell ref="Z14:AA14"/>
    <mergeCell ref="V15:W15"/>
    <mergeCell ref="Z15:AA15"/>
    <mergeCell ref="X14:Y14"/>
    <mergeCell ref="X15:Y15"/>
    <mergeCell ref="V14:W14"/>
    <mergeCell ref="P11:Q11"/>
    <mergeCell ref="R15:S15"/>
    <mergeCell ref="P14:Q14"/>
    <mergeCell ref="T13:U13"/>
    <mergeCell ref="T12:U12"/>
    <mergeCell ref="P12:Q12"/>
    <mergeCell ref="P15:Q15"/>
    <mergeCell ref="T14:U14"/>
    <mergeCell ref="T15:U15"/>
    <mergeCell ref="P13:Q13"/>
    <mergeCell ref="R11:S11"/>
    <mergeCell ref="J16:K16"/>
    <mergeCell ref="N18:O18"/>
    <mergeCell ref="V9:W9"/>
    <mergeCell ref="V11:W11"/>
    <mergeCell ref="R9:S9"/>
    <mergeCell ref="T10:U10"/>
    <mergeCell ref="T9:U9"/>
    <mergeCell ref="T11:U11"/>
    <mergeCell ref="N14:O14"/>
    <mergeCell ref="J15:K15"/>
    <mergeCell ref="F15:G15"/>
    <mergeCell ref="L16:M16"/>
    <mergeCell ref="J11:K11"/>
    <mergeCell ref="J10:K10"/>
    <mergeCell ref="J12:K12"/>
    <mergeCell ref="N16:O16"/>
    <mergeCell ref="N12:O12"/>
    <mergeCell ref="N11:O11"/>
    <mergeCell ref="J14:K14"/>
    <mergeCell ref="F13:G13"/>
    <mergeCell ref="H13:I13"/>
    <mergeCell ref="B15:C15"/>
    <mergeCell ref="D15:E15"/>
    <mergeCell ref="R13:S13"/>
    <mergeCell ref="R14:S14"/>
    <mergeCell ref="N13:O13"/>
    <mergeCell ref="J13:K13"/>
    <mergeCell ref="N15:O15"/>
    <mergeCell ref="B13:C13"/>
    <mergeCell ref="H15:I15"/>
    <mergeCell ref="L12:M12"/>
    <mergeCell ref="B9:C9"/>
    <mergeCell ref="D9:E9"/>
    <mergeCell ref="B10:C10"/>
    <mergeCell ref="D10:E10"/>
    <mergeCell ref="D14:E14"/>
    <mergeCell ref="H14:I14"/>
    <mergeCell ref="F9:G9"/>
    <mergeCell ref="B14:C14"/>
    <mergeCell ref="L10:M10"/>
    <mergeCell ref="L15:M15"/>
    <mergeCell ref="L14:M14"/>
    <mergeCell ref="F10:G10"/>
    <mergeCell ref="F11:G11"/>
    <mergeCell ref="F14:G14"/>
    <mergeCell ref="D12:E12"/>
    <mergeCell ref="B12:C12"/>
    <mergeCell ref="B11:C11"/>
    <mergeCell ref="B17:C17"/>
    <mergeCell ref="H17:I17"/>
    <mergeCell ref="B16:C16"/>
    <mergeCell ref="D16:E16"/>
    <mergeCell ref="F16:G16"/>
    <mergeCell ref="H16:I16"/>
    <mergeCell ref="D17:E17"/>
    <mergeCell ref="F17:G17"/>
    <mergeCell ref="D11:E11"/>
    <mergeCell ref="D13:E13"/>
    <mergeCell ref="H8:I8"/>
    <mergeCell ref="H9:I9"/>
    <mergeCell ref="H12:I12"/>
    <mergeCell ref="H10:I10"/>
    <mergeCell ref="F12:G12"/>
    <mergeCell ref="H11:I11"/>
    <mergeCell ref="AN6:AO6"/>
    <mergeCell ref="AK6:AL6"/>
    <mergeCell ref="AD6:AE6"/>
    <mergeCell ref="Z5:AA7"/>
    <mergeCell ref="AH6:AI6"/>
    <mergeCell ref="B8:C8"/>
    <mergeCell ref="D8:E8"/>
    <mergeCell ref="P10:Q10"/>
    <mergeCell ref="J8:K8"/>
    <mergeCell ref="L8:M8"/>
    <mergeCell ref="V8:W8"/>
    <mergeCell ref="R10:S10"/>
    <mergeCell ref="P9:Q9"/>
    <mergeCell ref="L9:M9"/>
    <mergeCell ref="N9:O9"/>
    <mergeCell ref="V10:W10"/>
    <mergeCell ref="J9:K9"/>
    <mergeCell ref="J5:K7"/>
    <mergeCell ref="B2:AA2"/>
    <mergeCell ref="R4:U4"/>
    <mergeCell ref="V4:W4"/>
    <mergeCell ref="X4:Y4"/>
    <mergeCell ref="X10:Y10"/>
    <mergeCell ref="X9:Y9"/>
    <mergeCell ref="L5:M7"/>
    <mergeCell ref="N8:O8"/>
    <mergeCell ref="R8:S8"/>
    <mergeCell ref="Z10:AA10"/>
    <mergeCell ref="X8:Y8"/>
    <mergeCell ref="Z9:AA9"/>
    <mergeCell ref="Z8:AA8"/>
    <mergeCell ref="T7:U7"/>
    <mergeCell ref="T8:U8"/>
    <mergeCell ref="X5:Y7"/>
    <mergeCell ref="P6:U6"/>
    <mergeCell ref="P8:Q8"/>
    <mergeCell ref="R7:S7"/>
    <mergeCell ref="V5:W7"/>
    <mergeCell ref="N5:U5"/>
    <mergeCell ref="F8:G8"/>
    <mergeCell ref="B5:C7"/>
    <mergeCell ref="D5:G5"/>
    <mergeCell ref="H5:I7"/>
    <mergeCell ref="P7:Q7"/>
    <mergeCell ref="D6:E7"/>
    <mergeCell ref="F6:G7"/>
    <mergeCell ref="N6:O7"/>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90" orientation="portrait" horizontalDpi="300" verticalDpi="300" r:id="rId1"/>
  <headerFooter>
    <oddHeader>&amp;Rver. 1.8[H28]</oddHeader>
    <oddFooter>&amp;Cⓒ　2013 hyoukakyoukai.All right reserved</oddFooter>
  </headerFooter>
  <drawing r:id="rId2"/>
  <legacyDrawing r:id="rId3"/>
</worksheet>
</file>

<file path=xl/worksheets/sheet9.xml><?xml version="1.0" encoding="utf-8"?>
<worksheet xmlns="http://schemas.openxmlformats.org/spreadsheetml/2006/main" xmlns:r="http://schemas.openxmlformats.org/officeDocument/2006/relationships">
  <sheetPr codeName="Sheet9"/>
  <dimension ref="B1:AO106"/>
  <sheetViews>
    <sheetView showGridLines="0" view="pageBreakPreview" topLeftCell="A16" zoomScaleNormal="100" zoomScaleSheetLayoutView="100" workbookViewId="0">
      <selection activeCell="R35" sqref="R35:S35"/>
    </sheetView>
  </sheetViews>
  <sheetFormatPr defaultRowHeight="13.5"/>
  <cols>
    <col min="1" max="1" width="0.875" style="52" customWidth="1"/>
    <col min="2" max="29" width="3.875" style="52" customWidth="1"/>
    <col min="30" max="31" width="10.625" style="52" hidden="1" customWidth="1"/>
    <col min="32" max="32" width="2.625" style="52" hidden="1" customWidth="1"/>
    <col min="33" max="35" width="10.625" style="52" hidden="1" customWidth="1"/>
    <col min="36" max="36" width="2.625" style="52" hidden="1" customWidth="1"/>
    <col min="37" max="38" width="15.625" style="52" hidden="1" customWidth="1"/>
    <col min="39" max="39" width="2.625" style="52" hidden="1" customWidth="1"/>
    <col min="40" max="41" width="10.625" style="52" hidden="1" customWidth="1"/>
    <col min="42" max="43" width="3.625" style="52" customWidth="1"/>
    <col min="44" max="49" width="4.625" style="52" customWidth="1"/>
    <col min="50" max="16384" width="9" style="52"/>
  </cols>
  <sheetData>
    <row r="1" spans="2:41" ht="3.95" customHeight="1"/>
    <row r="2" spans="2:41" s="36" customFormat="1" ht="30" customHeight="1">
      <c r="B2" s="339" t="s">
        <v>114</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row>
    <row r="3" spans="2:41" s="37" customFormat="1" ht="24.95" customHeight="1" thickBot="1"/>
    <row r="4" spans="2:41" s="37" customFormat="1" ht="21.95" customHeight="1" thickBot="1">
      <c r="B4" s="38" t="s">
        <v>5</v>
      </c>
      <c r="R4" s="340" t="s">
        <v>35</v>
      </c>
      <c r="S4" s="341"/>
      <c r="T4" s="341"/>
      <c r="U4" s="342"/>
      <c r="V4" s="355">
        <f ca="1">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0.504</v>
      </c>
      <c r="W4" s="356"/>
      <c r="X4" s="355">
        <f ca="1">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0.52300000000000002</v>
      </c>
      <c r="Y4" s="356"/>
    </row>
    <row r="5" spans="2:41" s="37" customFormat="1" ht="21.95" customHeight="1">
      <c r="B5" s="319" t="s">
        <v>6</v>
      </c>
      <c r="C5" s="185"/>
      <c r="D5" s="185" t="s">
        <v>91</v>
      </c>
      <c r="E5" s="185"/>
      <c r="F5" s="185"/>
      <c r="G5" s="185"/>
      <c r="H5" s="185" t="s">
        <v>7</v>
      </c>
      <c r="I5" s="185"/>
      <c r="J5" s="196" t="s">
        <v>99</v>
      </c>
      <c r="K5" s="185"/>
      <c r="L5" s="196" t="s">
        <v>10</v>
      </c>
      <c r="M5" s="185"/>
      <c r="N5" s="328" t="s">
        <v>71</v>
      </c>
      <c r="O5" s="329"/>
      <c r="P5" s="329"/>
      <c r="Q5" s="329"/>
      <c r="R5" s="329"/>
      <c r="S5" s="329"/>
      <c r="T5" s="329"/>
      <c r="U5" s="329"/>
      <c r="V5" s="196" t="s">
        <v>66</v>
      </c>
      <c r="W5" s="185"/>
      <c r="X5" s="196" t="s">
        <v>67</v>
      </c>
      <c r="Y5" s="185"/>
      <c r="Z5" s="185" t="s">
        <v>13</v>
      </c>
      <c r="AA5" s="186"/>
    </row>
    <row r="6" spans="2:41" s="37" customFormat="1" ht="21.95" customHeight="1">
      <c r="B6" s="320"/>
      <c r="C6" s="205"/>
      <c r="D6" s="322" t="s">
        <v>9</v>
      </c>
      <c r="E6" s="323"/>
      <c r="F6" s="326" t="s">
        <v>8</v>
      </c>
      <c r="G6" s="327"/>
      <c r="H6" s="205"/>
      <c r="I6" s="205"/>
      <c r="J6" s="217"/>
      <c r="K6" s="205"/>
      <c r="L6" s="217"/>
      <c r="M6" s="205"/>
      <c r="N6" s="333" t="s">
        <v>69</v>
      </c>
      <c r="O6" s="334"/>
      <c r="P6" s="336" t="s">
        <v>70</v>
      </c>
      <c r="Q6" s="337"/>
      <c r="R6" s="337"/>
      <c r="S6" s="337"/>
      <c r="T6" s="337"/>
      <c r="U6" s="338"/>
      <c r="V6" s="217"/>
      <c r="W6" s="205"/>
      <c r="X6" s="217"/>
      <c r="Y6" s="205"/>
      <c r="Z6" s="205"/>
      <c r="AA6" s="206"/>
      <c r="AD6" s="183" t="s">
        <v>74</v>
      </c>
      <c r="AE6" s="183"/>
      <c r="AF6" s="39"/>
      <c r="AG6" s="39"/>
      <c r="AH6" s="183" t="s">
        <v>14</v>
      </c>
      <c r="AI6" s="183"/>
      <c r="AJ6" s="39"/>
      <c r="AK6" s="183" t="s">
        <v>75</v>
      </c>
      <c r="AL6" s="183"/>
      <c r="AN6" s="183" t="s">
        <v>89</v>
      </c>
      <c r="AO6" s="183"/>
    </row>
    <row r="7" spans="2:41" s="37" customFormat="1" ht="21.95" customHeight="1" thickBot="1">
      <c r="B7" s="321"/>
      <c r="C7" s="187"/>
      <c r="D7" s="324"/>
      <c r="E7" s="325"/>
      <c r="F7" s="260"/>
      <c r="G7" s="258"/>
      <c r="H7" s="187"/>
      <c r="I7" s="187"/>
      <c r="J7" s="187"/>
      <c r="K7" s="187"/>
      <c r="L7" s="187"/>
      <c r="M7" s="187"/>
      <c r="N7" s="251"/>
      <c r="O7" s="335"/>
      <c r="P7" s="258" t="s">
        <v>11</v>
      </c>
      <c r="Q7" s="332"/>
      <c r="R7" s="330" t="s">
        <v>12</v>
      </c>
      <c r="S7" s="331"/>
      <c r="T7" s="258" t="s">
        <v>3</v>
      </c>
      <c r="U7" s="332"/>
      <c r="V7" s="187"/>
      <c r="W7" s="187"/>
      <c r="X7" s="187"/>
      <c r="Y7" s="187"/>
      <c r="Z7" s="187"/>
      <c r="AA7" s="188"/>
      <c r="AD7" s="39" t="s">
        <v>4</v>
      </c>
      <c r="AE7" s="39" t="s">
        <v>18</v>
      </c>
      <c r="AF7" s="39"/>
      <c r="AG7" s="39"/>
      <c r="AH7" s="39" t="s">
        <v>4</v>
      </c>
      <c r="AI7" s="39" t="s">
        <v>18</v>
      </c>
      <c r="AJ7" s="39"/>
      <c r="AK7" s="39" t="s">
        <v>4</v>
      </c>
      <c r="AL7" s="39" t="s">
        <v>18</v>
      </c>
      <c r="AN7" s="94" t="s">
        <v>87</v>
      </c>
      <c r="AO7" s="37" t="s">
        <v>85</v>
      </c>
    </row>
    <row r="8" spans="2:41" s="37" customFormat="1" ht="21.95" customHeight="1">
      <c r="B8" s="232">
        <v>105</v>
      </c>
      <c r="C8" s="349"/>
      <c r="D8" s="194">
        <v>1.65</v>
      </c>
      <c r="E8" s="195"/>
      <c r="F8" s="195">
        <v>0.9</v>
      </c>
      <c r="G8" s="221"/>
      <c r="H8" s="226">
        <v>1.7</v>
      </c>
      <c r="I8" s="226"/>
      <c r="J8" s="226">
        <v>0.32</v>
      </c>
      <c r="K8" s="226"/>
      <c r="L8" s="199"/>
      <c r="M8" s="199"/>
      <c r="N8" s="305"/>
      <c r="O8" s="306"/>
      <c r="P8" s="307"/>
      <c r="Q8" s="308"/>
      <c r="R8" s="347"/>
      <c r="S8" s="348"/>
      <c r="T8" s="317"/>
      <c r="U8" s="307"/>
      <c r="V8" s="207">
        <f>IF(D8="","",AD8)</f>
        <v>0.22273574399999999</v>
      </c>
      <c r="W8" s="207"/>
      <c r="X8" s="207">
        <f t="shared" ref="X8:X19" si="0">IF(D8="","",IF(ISERROR(AE8),"-",AE8))</f>
        <v>0.12675009600000001</v>
      </c>
      <c r="Y8" s="207"/>
      <c r="Z8" s="207">
        <f>IF(D8="","",D8*F8*AN8)</f>
        <v>2.5244999999999997</v>
      </c>
      <c r="AA8" s="208"/>
      <c r="AD8" s="37">
        <f>D8*F8*J8*$V$4*AH8</f>
        <v>0.22273574399999999</v>
      </c>
      <c r="AE8" s="37">
        <f>D8*F8*J8*$X$4*AI8</f>
        <v>0.12675009600000001</v>
      </c>
      <c r="AG8" s="40" t="b">
        <v>1</v>
      </c>
      <c r="AH8" s="37" t="str">
        <f>IF(AG8=TRUE,"0.93",IF(ISERROR(AK8),"エラー",IF(AK8&gt;0.93,"0.93",AK8)))</f>
        <v>0.93</v>
      </c>
      <c r="AI8" s="37" t="str">
        <f>IF(AG8=TRUE,"0.51",IF(ISERROR(AL8),"エラー",IF(AL8&gt;0.72,"0.72",AL8)))</f>
        <v>0.51</v>
      </c>
      <c r="AK8" s="37" t="e">
        <f>0.01*(16+24*(2*R8+T8)/P8)</f>
        <v>#DIV/0!</v>
      </c>
      <c r="AL8" s="37" t="e">
        <f>0.01*(10+15*(2*R8+T8)/P8)</f>
        <v>#DIV/0!</v>
      </c>
      <c r="AN8" s="37">
        <f ca="1">IF(共通条件・結果!$AA$7="８地域",H8,IF(AO8="FALSE",H8,IF(L8="風除室",1/((1/H8)+0.1),0.5*H8+0.5*(1/((1/H8)+AO8)))))</f>
        <v>1.7</v>
      </c>
      <c r="AO8" s="39" t="str">
        <f t="shared" ref="AO8:AO19" si="1">IF(L8="","FALSE",IF(L8="雨戸",0.1,IF(L8="ｼｬｯﾀｰ",0.1,IF(L8="障子",0.18,IF(L8="風除室",0.1)))))</f>
        <v>FALSE</v>
      </c>
    </row>
    <row r="9" spans="2:41" s="37" customFormat="1" ht="21.95" customHeight="1">
      <c r="B9" s="218">
        <v>108</v>
      </c>
      <c r="C9" s="350"/>
      <c r="D9" s="318">
        <v>0.78</v>
      </c>
      <c r="E9" s="278"/>
      <c r="F9" s="278">
        <v>0.9</v>
      </c>
      <c r="G9" s="279"/>
      <c r="H9" s="254">
        <v>1.7</v>
      </c>
      <c r="I9" s="254"/>
      <c r="J9" s="254">
        <v>0.32</v>
      </c>
      <c r="K9" s="254"/>
      <c r="L9" s="227" t="s">
        <v>65</v>
      </c>
      <c r="M9" s="227"/>
      <c r="N9" s="300"/>
      <c r="O9" s="301"/>
      <c r="P9" s="297"/>
      <c r="Q9" s="298"/>
      <c r="R9" s="302"/>
      <c r="S9" s="303"/>
      <c r="T9" s="296"/>
      <c r="U9" s="297"/>
      <c r="V9" s="174">
        <f t="shared" ref="V9:V19" si="2">IF(D9="","",AD9)</f>
        <v>0.10529326080000002</v>
      </c>
      <c r="W9" s="174"/>
      <c r="X9" s="174">
        <f t="shared" si="0"/>
        <v>5.9918227200000007E-2</v>
      </c>
      <c r="Y9" s="174"/>
      <c r="Z9" s="174">
        <f t="shared" ref="Z9:Z19" si="3">IF(D9="","",D9*F9*AN9)</f>
        <v>1.1934</v>
      </c>
      <c r="AA9" s="175"/>
      <c r="AD9" s="37">
        <f t="shared" ref="AD9:AD19" si="4">D9*F9*J9*$V$4*AH9</f>
        <v>0.10529326080000002</v>
      </c>
      <c r="AE9" s="37">
        <f t="shared" ref="AE9:AE19" si="5">D9*F9*J9*$X$4*AI9</f>
        <v>5.9918227200000007E-2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 ca="1">IF(共通条件・結果!$AA$7="８地域",H9,IF(AO9="FALSE",H9,IF(L9="風除室",1/((1/H9)+0.1),0.5*H9+0.5*(1/((1/H9)+AO9)))))</f>
        <v>1.7</v>
      </c>
      <c r="AO9" s="39" t="b">
        <f t="shared" si="1"/>
        <v>0</v>
      </c>
    </row>
    <row r="10" spans="2:41" s="37" customFormat="1" ht="21.95" customHeight="1">
      <c r="B10" s="218">
        <v>113</v>
      </c>
      <c r="C10" s="350"/>
      <c r="D10" s="318">
        <v>2.56</v>
      </c>
      <c r="E10" s="278"/>
      <c r="F10" s="278">
        <v>2</v>
      </c>
      <c r="G10" s="279"/>
      <c r="H10" s="254">
        <v>1.7</v>
      </c>
      <c r="I10" s="254"/>
      <c r="J10" s="254">
        <v>0.32</v>
      </c>
      <c r="K10" s="254"/>
      <c r="L10" s="227" t="s">
        <v>244</v>
      </c>
      <c r="M10" s="227"/>
      <c r="N10" s="300"/>
      <c r="O10" s="301"/>
      <c r="P10" s="298"/>
      <c r="Q10" s="299"/>
      <c r="R10" s="295"/>
      <c r="S10" s="299"/>
      <c r="T10" s="295"/>
      <c r="U10" s="296"/>
      <c r="V10" s="174">
        <f t="shared" si="2"/>
        <v>0.76795084800000013</v>
      </c>
      <c r="W10" s="174"/>
      <c r="X10" s="174">
        <f t="shared" si="0"/>
        <v>0.43701043200000006</v>
      </c>
      <c r="Y10" s="174"/>
      <c r="Z10" s="174">
        <f t="shared" si="3"/>
        <v>8.0716581196581192</v>
      </c>
      <c r="AA10" s="175"/>
      <c r="AD10" s="37">
        <f t="shared" si="4"/>
        <v>0.76795084800000013</v>
      </c>
      <c r="AE10" s="37">
        <f t="shared" si="5"/>
        <v>0.43701043200000006</v>
      </c>
      <c r="AG10" s="40" t="b">
        <v>1</v>
      </c>
      <c r="AH10" s="37" t="str">
        <f t="shared" si="6"/>
        <v>0.93</v>
      </c>
      <c r="AI10" s="37" t="str">
        <f t="shared" si="7"/>
        <v>0.51</v>
      </c>
      <c r="AK10" s="37" t="e">
        <f t="shared" si="8"/>
        <v>#DIV/0!</v>
      </c>
      <c r="AL10" s="37" t="e">
        <f t="shared" si="9"/>
        <v>#DIV/0!</v>
      </c>
      <c r="AN10" s="37">
        <f ca="1">IF(共通条件・結果!$AA$7="８地域",H10,IF(AO10="FALSE",H10,IF(L10="風除室",1/((1/H10)+0.1),0.5*H10+0.5*(1/((1/H10)+AO10)))))</f>
        <v>1.5764957264957264</v>
      </c>
      <c r="AO10" s="39">
        <f t="shared" si="1"/>
        <v>0.1</v>
      </c>
    </row>
    <row r="11" spans="2:41" s="37" customFormat="1" ht="21.95" customHeight="1">
      <c r="B11" s="218"/>
      <c r="C11" s="350"/>
      <c r="D11" s="318"/>
      <c r="E11" s="278"/>
      <c r="F11" s="278"/>
      <c r="G11" s="279"/>
      <c r="H11" s="254"/>
      <c r="I11" s="254"/>
      <c r="J11" s="254"/>
      <c r="K11" s="254"/>
      <c r="L11" s="227" t="s">
        <v>65</v>
      </c>
      <c r="M11" s="227"/>
      <c r="N11" s="300"/>
      <c r="O11" s="301"/>
      <c r="P11" s="298"/>
      <c r="Q11" s="299"/>
      <c r="R11" s="295"/>
      <c r="S11" s="299"/>
      <c r="T11" s="295"/>
      <c r="U11" s="296"/>
      <c r="V11" s="174" t="str">
        <f t="shared" si="2"/>
        <v/>
      </c>
      <c r="W11" s="174"/>
      <c r="X11" s="174" t="str">
        <f t="shared" si="0"/>
        <v/>
      </c>
      <c r="Y11" s="174"/>
      <c r="Z11" s="174" t="str">
        <f t="shared" si="3"/>
        <v/>
      </c>
      <c r="AA11" s="175"/>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 ca="1">IF(共通条件・結果!$AA$7="８地域",H11,IF(AO11="FALSE",H11,IF(L11="風除室",1/((1/H11)+0.1),0.5*H11+0.5*(1/((1/H11)+AO11)))))</f>
        <v>#DIV/0!</v>
      </c>
      <c r="AO11" s="39" t="b">
        <f t="shared" si="1"/>
        <v>0</v>
      </c>
    </row>
    <row r="12" spans="2:41" s="37" customFormat="1" ht="21.95" customHeight="1">
      <c r="B12" s="218"/>
      <c r="C12" s="220"/>
      <c r="D12" s="192"/>
      <c r="E12" s="216"/>
      <c r="F12" s="215"/>
      <c r="G12" s="193"/>
      <c r="H12" s="192"/>
      <c r="I12" s="193"/>
      <c r="J12" s="192"/>
      <c r="K12" s="193"/>
      <c r="L12" s="213"/>
      <c r="M12" s="214"/>
      <c r="N12" s="300"/>
      <c r="O12" s="304"/>
      <c r="P12" s="298"/>
      <c r="Q12" s="299"/>
      <c r="R12" s="295"/>
      <c r="S12" s="299"/>
      <c r="T12" s="295"/>
      <c r="U12" s="296"/>
      <c r="V12" s="176" t="str">
        <f>IF(D12="","",AD12)</f>
        <v/>
      </c>
      <c r="W12" s="177"/>
      <c r="X12" s="176" t="str">
        <f>IF(D12="","",IF(ISERROR(AE12),"-",AE12))</f>
        <v/>
      </c>
      <c r="Y12" s="177"/>
      <c r="Z12" s="176" t="str">
        <f>IF(D12="","",D12*F12*AN12)</f>
        <v/>
      </c>
      <c r="AA12" s="178"/>
      <c r="AD12" s="37" t="e">
        <f>D12*F12*J12*$V$4*AH12</f>
        <v>#VALUE!</v>
      </c>
      <c r="AE12" s="37" t="e">
        <f>D12*F12*J12*$X$4*AI12</f>
        <v>#VALUE!</v>
      </c>
      <c r="AG12" s="40" t="b">
        <v>0</v>
      </c>
      <c r="AH12" s="37" t="str">
        <f>IF(AG12=TRUE,"0.93",IF(ISERROR(AK12),"エラー",IF(AK12&gt;0.93,"0.93",AK12)))</f>
        <v>エラー</v>
      </c>
      <c r="AI12" s="37" t="str">
        <f>IF(AG12=TRUE,"0.51",IF(ISERROR(AL12),"エラー",IF(AL12&gt;0.72,"0.72",AL12)))</f>
        <v>エラー</v>
      </c>
      <c r="AK12" s="37" t="e">
        <f>0.01*(16+24*(2*R12+T12)/P12)</f>
        <v>#DIV/0!</v>
      </c>
      <c r="AL12" s="37" t="e">
        <f>0.01*(10+15*(2*R12+T12)/P12)</f>
        <v>#DIV/0!</v>
      </c>
      <c r="AN12" s="37">
        <f ca="1">IF(共通条件・結果!$AA$7="８地域",H12,IF(AO12="FALSE",H12,IF(L12="風除室",1/((1/H12)+0.1),0.5*H12+0.5*(1/((1/H12)+AO12)))))</f>
        <v>0</v>
      </c>
      <c r="AO12" s="39" t="str">
        <f>IF(L12="","FALSE",IF(L12="雨戸",0.1,IF(L12="ｼｬｯﾀｰ",0.1,IF(L12="障子",0.18,IF(L12="風除室",0.1)))))</f>
        <v>FALSE</v>
      </c>
    </row>
    <row r="13" spans="2:41" s="37" customFormat="1" ht="21.95" customHeight="1">
      <c r="B13" s="218"/>
      <c r="C13" s="350"/>
      <c r="D13" s="192"/>
      <c r="E13" s="216"/>
      <c r="F13" s="215"/>
      <c r="G13" s="193"/>
      <c r="H13" s="192"/>
      <c r="I13" s="193"/>
      <c r="J13" s="192"/>
      <c r="K13" s="193"/>
      <c r="L13" s="213"/>
      <c r="M13" s="214"/>
      <c r="N13" s="300"/>
      <c r="O13" s="304"/>
      <c r="P13" s="298"/>
      <c r="Q13" s="299"/>
      <c r="R13" s="295"/>
      <c r="S13" s="299"/>
      <c r="T13" s="295"/>
      <c r="U13" s="296"/>
      <c r="V13" s="176" t="str">
        <f>IF(D13="","",AD13)</f>
        <v/>
      </c>
      <c r="W13" s="177"/>
      <c r="X13" s="176" t="str">
        <f>IF(D13="","",IF(ISERROR(AE13),"-",AE13))</f>
        <v/>
      </c>
      <c r="Y13" s="177"/>
      <c r="Z13" s="176" t="str">
        <f>IF(D13="","",D13*F13*AN13)</f>
        <v/>
      </c>
      <c r="AA13" s="178"/>
      <c r="AD13" s="37" t="e">
        <f>D13*F13*J13*$V$4*AH13</f>
        <v>#VALUE!</v>
      </c>
      <c r="AE13" s="37" t="e">
        <f>D13*F13*J13*$X$4*AI13</f>
        <v>#VALUE!</v>
      </c>
      <c r="AG13" s="40" t="b">
        <v>0</v>
      </c>
      <c r="AH13" s="37" t="str">
        <f>IF(AG13=TRUE,"0.93",IF(ISERROR(AK13),"エラー",IF(AK13&gt;0.93,"0.93",AK13)))</f>
        <v>エラー</v>
      </c>
      <c r="AI13" s="37" t="str">
        <f>IF(AG13=TRUE,"0.51",IF(ISERROR(AL13),"エラー",IF(AL13&gt;0.72,"0.72",AL13)))</f>
        <v>エラー</v>
      </c>
      <c r="AK13" s="37" t="e">
        <f>0.01*(16+24*(2*R13+T13)/P13)</f>
        <v>#DIV/0!</v>
      </c>
      <c r="AL13" s="37" t="e">
        <f>0.01*(10+15*(2*R13+T13)/P13)</f>
        <v>#DIV/0!</v>
      </c>
      <c r="AN13" s="37">
        <f ca="1">IF(共通条件・結果!$AA$7="８地域",H13,IF(AO13="FALSE",H13,IF(L13="風除室",1/((1/H13)+0.1),0.5*H13+0.5*(1/((1/H13)+AO13)))))</f>
        <v>0</v>
      </c>
      <c r="AO13" s="39" t="str">
        <f>IF(L13="","FALSE",IF(L13="雨戸",0.1,IF(L13="ｼｬｯﾀｰ",0.1,IF(L13="障子",0.18,IF(L13="風除室",0.1)))))</f>
        <v>FALSE</v>
      </c>
    </row>
    <row r="14" spans="2:41" s="37" customFormat="1" ht="21.95" customHeight="1">
      <c r="B14" s="218"/>
      <c r="C14" s="220"/>
      <c r="D14" s="318"/>
      <c r="E14" s="278"/>
      <c r="F14" s="278"/>
      <c r="G14" s="279"/>
      <c r="H14" s="254"/>
      <c r="I14" s="254"/>
      <c r="J14" s="254"/>
      <c r="K14" s="254"/>
      <c r="L14" s="227" t="s">
        <v>65</v>
      </c>
      <c r="M14" s="227"/>
      <c r="N14" s="300"/>
      <c r="O14" s="301"/>
      <c r="P14" s="298"/>
      <c r="Q14" s="299"/>
      <c r="R14" s="295"/>
      <c r="S14" s="299"/>
      <c r="T14" s="295"/>
      <c r="U14" s="296"/>
      <c r="V14" s="174" t="str">
        <f t="shared" si="2"/>
        <v/>
      </c>
      <c r="W14" s="174"/>
      <c r="X14" s="174" t="str">
        <f t="shared" si="0"/>
        <v/>
      </c>
      <c r="Y14" s="174"/>
      <c r="Z14" s="174" t="str">
        <f t="shared" si="3"/>
        <v/>
      </c>
      <c r="AA14" s="175"/>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 ca="1">IF(共通条件・結果!$AA$7="８地域",H14,IF(AO14="FALSE",H14,IF(L14="風除室",1/((1/H14)+0.1),0.5*H14+0.5*(1/((1/H14)+AO14)))))</f>
        <v>#DIV/0!</v>
      </c>
      <c r="AO14" s="39" t="b">
        <f t="shared" si="1"/>
        <v>0</v>
      </c>
    </row>
    <row r="15" spans="2:41" s="37" customFormat="1" ht="21.95" customHeight="1">
      <c r="B15" s="218"/>
      <c r="C15" s="350"/>
      <c r="D15" s="318"/>
      <c r="E15" s="278"/>
      <c r="F15" s="278"/>
      <c r="G15" s="279"/>
      <c r="H15" s="254"/>
      <c r="I15" s="254"/>
      <c r="J15" s="254"/>
      <c r="K15" s="254"/>
      <c r="L15" s="227" t="s">
        <v>65</v>
      </c>
      <c r="M15" s="227"/>
      <c r="N15" s="300"/>
      <c r="O15" s="301"/>
      <c r="P15" s="298"/>
      <c r="Q15" s="299"/>
      <c r="R15" s="295"/>
      <c r="S15" s="299"/>
      <c r="T15" s="295"/>
      <c r="U15" s="296"/>
      <c r="V15" s="176" t="str">
        <f t="shared" si="2"/>
        <v/>
      </c>
      <c r="W15" s="177"/>
      <c r="X15" s="174" t="str">
        <f t="shared" si="0"/>
        <v/>
      </c>
      <c r="Y15" s="174"/>
      <c r="Z15" s="174" t="str">
        <f t="shared" si="3"/>
        <v/>
      </c>
      <c r="AA15" s="175"/>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 ca="1">IF(共通条件・結果!$AA$7="８地域",H15,IF(AO15="FALSE",H15,IF(L15="風除室",1/((1/H15)+0.1),0.5*H15+0.5*(1/((1/H15)+AO15)))))</f>
        <v>#DIV/0!</v>
      </c>
      <c r="AO15" s="39" t="b">
        <f t="shared" si="1"/>
        <v>0</v>
      </c>
    </row>
    <row r="16" spans="2:41" s="37" customFormat="1" ht="21.95" customHeight="1">
      <c r="B16" s="218"/>
      <c r="C16" s="220"/>
      <c r="D16" s="318"/>
      <c r="E16" s="278"/>
      <c r="F16" s="278"/>
      <c r="G16" s="279"/>
      <c r="H16" s="254"/>
      <c r="I16" s="254"/>
      <c r="J16" s="254"/>
      <c r="K16" s="254"/>
      <c r="L16" s="227" t="s">
        <v>65</v>
      </c>
      <c r="M16" s="227"/>
      <c r="N16" s="300"/>
      <c r="O16" s="301"/>
      <c r="P16" s="298"/>
      <c r="Q16" s="299"/>
      <c r="R16" s="295"/>
      <c r="S16" s="299"/>
      <c r="T16" s="295"/>
      <c r="U16" s="296"/>
      <c r="V16" s="176" t="str">
        <f t="shared" si="2"/>
        <v/>
      </c>
      <c r="W16" s="177"/>
      <c r="X16" s="174" t="str">
        <f t="shared" si="0"/>
        <v/>
      </c>
      <c r="Y16" s="174"/>
      <c r="Z16" s="174" t="str">
        <f t="shared" si="3"/>
        <v/>
      </c>
      <c r="AA16" s="175"/>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 ca="1">IF(共通条件・結果!$AA$7="８地域",H16,IF(AO16="FALSE",H16,IF(L16="風除室",1/((1/H16)+0.1),0.5*H16+0.5*(1/((1/H16)+AO16)))))</f>
        <v>#DIV/0!</v>
      </c>
      <c r="AO16" s="39" t="b">
        <f t="shared" si="1"/>
        <v>0</v>
      </c>
    </row>
    <row r="17" spans="2:41" s="37" customFormat="1" ht="21.95" customHeight="1">
      <c r="B17" s="218"/>
      <c r="C17" s="350"/>
      <c r="D17" s="318"/>
      <c r="E17" s="278"/>
      <c r="F17" s="278"/>
      <c r="G17" s="279"/>
      <c r="H17" s="254"/>
      <c r="I17" s="254"/>
      <c r="J17" s="254"/>
      <c r="K17" s="254"/>
      <c r="L17" s="227" t="s">
        <v>65</v>
      </c>
      <c r="M17" s="227"/>
      <c r="N17" s="300"/>
      <c r="O17" s="301"/>
      <c r="P17" s="297"/>
      <c r="Q17" s="298"/>
      <c r="R17" s="295"/>
      <c r="S17" s="299"/>
      <c r="T17" s="295"/>
      <c r="U17" s="296"/>
      <c r="V17" s="176" t="str">
        <f t="shared" si="2"/>
        <v/>
      </c>
      <c r="W17" s="177"/>
      <c r="X17" s="174" t="str">
        <f t="shared" si="0"/>
        <v/>
      </c>
      <c r="Y17" s="174"/>
      <c r="Z17" s="174" t="str">
        <f t="shared" si="3"/>
        <v/>
      </c>
      <c r="AA17" s="175"/>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 ca="1">IF(共通条件・結果!$AA$7="８地域",H17,IF(AO17="FALSE",H17,IF(L17="風除室",1/((1/H17)+0.1),0.5*H17+0.5*(1/((1/H17)+AO17)))))</f>
        <v>#DIV/0!</v>
      </c>
      <c r="AO17" s="39" t="b">
        <f t="shared" si="1"/>
        <v>0</v>
      </c>
    </row>
    <row r="18" spans="2:41" s="37" customFormat="1" ht="21.95" customHeight="1">
      <c r="B18" s="218"/>
      <c r="C18" s="220"/>
      <c r="D18" s="318"/>
      <c r="E18" s="278"/>
      <c r="F18" s="278"/>
      <c r="G18" s="279"/>
      <c r="H18" s="254"/>
      <c r="I18" s="254"/>
      <c r="J18" s="254"/>
      <c r="K18" s="254"/>
      <c r="L18" s="227" t="s">
        <v>65</v>
      </c>
      <c r="M18" s="227"/>
      <c r="N18" s="300"/>
      <c r="O18" s="301"/>
      <c r="P18" s="297"/>
      <c r="Q18" s="298"/>
      <c r="R18" s="302"/>
      <c r="S18" s="303"/>
      <c r="T18" s="296"/>
      <c r="U18" s="297"/>
      <c r="V18" s="176" t="str">
        <f t="shared" si="2"/>
        <v/>
      </c>
      <c r="W18" s="177"/>
      <c r="X18" s="174" t="str">
        <f t="shared" si="0"/>
        <v/>
      </c>
      <c r="Y18" s="174"/>
      <c r="Z18" s="174" t="str">
        <f t="shared" si="3"/>
        <v/>
      </c>
      <c r="AA18" s="175"/>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 ca="1">IF(共通条件・結果!$AA$7="８地域",H18,IF(AO18="FALSE",H18,IF(L18="風除室",1/((1/H18)+0.1),0.5*H18+0.5*(1/((1/H18)+AO18)))))</f>
        <v>#DIV/0!</v>
      </c>
      <c r="AO18" s="39" t="b">
        <f t="shared" si="1"/>
        <v>0</v>
      </c>
    </row>
    <row r="19" spans="2:41" s="37" customFormat="1" ht="21.95" customHeight="1" thickBot="1">
      <c r="B19" s="209"/>
      <c r="C19" s="309"/>
      <c r="D19" s="248"/>
      <c r="E19" s="201"/>
      <c r="F19" s="201"/>
      <c r="G19" s="202"/>
      <c r="H19" s="200"/>
      <c r="I19" s="200"/>
      <c r="J19" s="200"/>
      <c r="K19" s="200"/>
      <c r="L19" s="199" t="s">
        <v>65</v>
      </c>
      <c r="M19" s="199"/>
      <c r="N19" s="312"/>
      <c r="O19" s="313"/>
      <c r="P19" s="311"/>
      <c r="Q19" s="314"/>
      <c r="R19" s="315"/>
      <c r="S19" s="316"/>
      <c r="T19" s="310"/>
      <c r="U19" s="311"/>
      <c r="V19" s="176" t="str">
        <f t="shared" si="2"/>
        <v/>
      </c>
      <c r="W19" s="177"/>
      <c r="X19" s="174" t="str">
        <f t="shared" si="0"/>
        <v/>
      </c>
      <c r="Y19" s="174"/>
      <c r="Z19" s="203" t="str">
        <f t="shared" si="3"/>
        <v/>
      </c>
      <c r="AA19" s="20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 ca="1">IF(共通条件・結果!$AA$7="８地域",H19,IF(AO19="FALSE",H19,IF(L19="風除室",1/((1/H19)+0.1),0.5*H19+0.5*(1/((1/H19)+AO19)))))</f>
        <v>#DIV/0!</v>
      </c>
      <c r="AO19" s="39" t="b">
        <f t="shared" si="1"/>
        <v>0</v>
      </c>
    </row>
    <row r="20" spans="2:41" s="37" customFormat="1" ht="21.95" customHeight="1" thickBot="1">
      <c r="B20" s="197" t="s">
        <v>132</v>
      </c>
      <c r="C20" s="198"/>
      <c r="D20" s="198"/>
      <c r="E20" s="198"/>
      <c r="F20" s="198"/>
      <c r="G20" s="198"/>
      <c r="H20" s="198"/>
      <c r="I20" s="198"/>
      <c r="J20" s="198"/>
      <c r="K20" s="198"/>
      <c r="L20" s="198"/>
      <c r="M20" s="198"/>
      <c r="N20" s="198"/>
      <c r="O20" s="198"/>
      <c r="P20" s="198"/>
      <c r="Q20" s="198"/>
      <c r="R20" s="198"/>
      <c r="S20" s="198"/>
      <c r="T20" s="198"/>
      <c r="U20" s="198"/>
      <c r="V20" s="184">
        <f>SUM(V8:W19)</f>
        <v>1.0959798528000002</v>
      </c>
      <c r="W20" s="184"/>
      <c r="X20" s="184">
        <f>SUM(X8:Y19)</f>
        <v>0.62367875520000005</v>
      </c>
      <c r="Y20" s="184"/>
      <c r="Z20" s="184">
        <f>SUM(Z8:AA19)</f>
        <v>11.789558119658119</v>
      </c>
      <c r="AA20" s="189"/>
    </row>
    <row r="21" spans="2:41" s="37" customFormat="1" ht="9.9499999999999993" customHeight="1">
      <c r="AN21" s="183"/>
      <c r="AO21" s="183"/>
    </row>
    <row r="22" spans="2:41" s="37" customFormat="1" ht="21.95" customHeight="1" thickBot="1">
      <c r="J22" s="38" t="s">
        <v>15</v>
      </c>
      <c r="K22" s="38"/>
      <c r="L22" s="38"/>
    </row>
    <row r="23" spans="2:41" s="37" customFormat="1" ht="21.95" customHeight="1">
      <c r="J23" s="255" t="s">
        <v>16</v>
      </c>
      <c r="K23" s="259"/>
      <c r="L23" s="259"/>
      <c r="M23" s="256"/>
      <c r="N23" s="185" t="s">
        <v>91</v>
      </c>
      <c r="O23" s="185"/>
      <c r="P23" s="185"/>
      <c r="Q23" s="185"/>
      <c r="R23" s="185" t="s">
        <v>7</v>
      </c>
      <c r="S23" s="185"/>
      <c r="T23" s="238" t="s">
        <v>10</v>
      </c>
      <c r="U23" s="239"/>
      <c r="V23" s="196" t="s">
        <v>68</v>
      </c>
      <c r="W23" s="185"/>
      <c r="X23" s="196" t="s">
        <v>67</v>
      </c>
      <c r="Y23" s="185"/>
      <c r="Z23" s="185" t="s">
        <v>13</v>
      </c>
      <c r="AA23" s="186"/>
      <c r="AN23" s="183" t="s">
        <v>89</v>
      </c>
      <c r="AO23" s="183"/>
    </row>
    <row r="24" spans="2:41" s="37" customFormat="1" ht="21.95" customHeight="1" thickBot="1">
      <c r="J24" s="257"/>
      <c r="K24" s="260"/>
      <c r="L24" s="260"/>
      <c r="M24" s="258"/>
      <c r="N24" s="262" t="s">
        <v>9</v>
      </c>
      <c r="O24" s="263"/>
      <c r="P24" s="261" t="s">
        <v>8</v>
      </c>
      <c r="Q24" s="187"/>
      <c r="R24" s="187"/>
      <c r="S24" s="187"/>
      <c r="T24" s="240"/>
      <c r="U24" s="240"/>
      <c r="V24" s="187"/>
      <c r="W24" s="187"/>
      <c r="X24" s="187"/>
      <c r="Y24" s="187"/>
      <c r="Z24" s="187"/>
      <c r="AA24" s="188"/>
      <c r="AN24" s="94" t="s">
        <v>87</v>
      </c>
      <c r="AO24" s="37" t="s">
        <v>85</v>
      </c>
    </row>
    <row r="25" spans="2:41" s="37" customFormat="1" ht="21.95" customHeight="1">
      <c r="C25" s="41"/>
      <c r="D25" s="41"/>
      <c r="E25" s="41"/>
      <c r="F25" s="41"/>
      <c r="G25" s="41"/>
      <c r="H25" s="41"/>
      <c r="I25" s="41"/>
      <c r="J25" s="232">
        <v>103</v>
      </c>
      <c r="K25" s="241"/>
      <c r="L25" s="241"/>
      <c r="M25" s="233"/>
      <c r="N25" s="194">
        <v>0.74</v>
      </c>
      <c r="O25" s="195"/>
      <c r="P25" s="195">
        <v>2</v>
      </c>
      <c r="Q25" s="221"/>
      <c r="R25" s="226">
        <v>2.08</v>
      </c>
      <c r="S25" s="226"/>
      <c r="T25" s="212"/>
      <c r="U25" s="212"/>
      <c r="V25" s="172">
        <f>IF(N25="","",N25*P25*R25*0.034*$V$4)</f>
        <v>5.2751462400000004E-2</v>
      </c>
      <c r="W25" s="172"/>
      <c r="X25" s="172">
        <f>IF(N25="","",IF(ISERROR(N25*P25*R25*0.034*$X$4),"-",N25*P25*R25*0.034*$X$4))</f>
        <v>5.4740108800000006E-2</v>
      </c>
      <c r="Y25" s="172"/>
      <c r="Z25" s="172">
        <f>IF(N25="","",N25*P25*AN25)</f>
        <v>3.0784000000000002</v>
      </c>
      <c r="AA25" s="173"/>
      <c r="AN25" s="37">
        <f ca="1">IF(共通条件・結果!$AA$7="８地域",R25,IF(AO25="FALSE",R25,IF(T25="風除室",1/((1/R25)+0.1),0.5*R25+0.5*(1/((1/R25)+AO25)))))</f>
        <v>2.08</v>
      </c>
      <c r="AO25" s="39" t="str">
        <f>IF(T25="","FALSE",IF(T25="雨戸",0.1,IF(T25="ｼｬｯﾀｰ",0.1,IF(T25="障子",0.18,IF(T25="風除室",0.1)))))</f>
        <v>FALSE</v>
      </c>
    </row>
    <row r="26" spans="2:41" s="37" customFormat="1" ht="21.95" customHeight="1">
      <c r="C26" s="41"/>
      <c r="D26" s="41"/>
      <c r="E26" s="41"/>
      <c r="F26" s="41"/>
      <c r="G26" s="41"/>
      <c r="H26" s="41"/>
      <c r="I26" s="41"/>
      <c r="J26" s="218"/>
      <c r="K26" s="219"/>
      <c r="L26" s="219"/>
      <c r="M26" s="220"/>
      <c r="N26" s="192"/>
      <c r="O26" s="216"/>
      <c r="P26" s="215"/>
      <c r="Q26" s="193"/>
      <c r="R26" s="192"/>
      <c r="S26" s="193"/>
      <c r="T26" s="213"/>
      <c r="U26" s="214"/>
      <c r="V26" s="176" t="str">
        <f>IF(N26="","",N26*P26*R26*0.034*$V$4)</f>
        <v/>
      </c>
      <c r="W26" s="177"/>
      <c r="X26" s="176" t="str">
        <f>IF(N26="","",IF(ISERROR(N26*P26*R26*0.034*$X$4),"-",N26*P26*R26*0.034*$X$4))</f>
        <v/>
      </c>
      <c r="Y26" s="177"/>
      <c r="Z26" s="176" t="str">
        <f>IF(N26="","",N26*P26*AN26)</f>
        <v/>
      </c>
      <c r="AA26" s="178"/>
      <c r="AN26" s="37">
        <f ca="1">IF(共通条件・結果!$AA$7="８地域",R26,IF(AO26="FALSE",R26,IF(T26="風除室",1/((1/R26)+0.1),0.5*R26+0.5*(1/((1/R26)+AO26)))))</f>
        <v>0</v>
      </c>
      <c r="AO26" s="39" t="str">
        <f>IF(T26="","FALSE",IF(T26="雨戸",0.1,IF(T26="ｼｬｯﾀｰ",0.1,IF(T26="障子",0.18,IF(T26="風除室",0.1)))))</f>
        <v>FALSE</v>
      </c>
    </row>
    <row r="27" spans="2:41" s="37" customFormat="1" ht="21.95" customHeight="1" thickBot="1">
      <c r="C27" s="41"/>
      <c r="D27" s="41"/>
      <c r="E27" s="41"/>
      <c r="F27" s="41"/>
      <c r="G27" s="41"/>
      <c r="H27" s="41"/>
      <c r="I27" s="41"/>
      <c r="J27" s="209"/>
      <c r="K27" s="210"/>
      <c r="L27" s="210"/>
      <c r="M27" s="211"/>
      <c r="N27" s="248"/>
      <c r="O27" s="201"/>
      <c r="P27" s="201"/>
      <c r="Q27" s="202"/>
      <c r="R27" s="200"/>
      <c r="S27" s="200"/>
      <c r="T27" s="227" t="s">
        <v>65</v>
      </c>
      <c r="U27" s="227"/>
      <c r="V27" s="190" t="str">
        <f>IF(N27="","",N27*P27*R27*0.034*$V$4)</f>
        <v/>
      </c>
      <c r="W27" s="190"/>
      <c r="X27" s="190" t="str">
        <f>IF(N27="","",IF(ISERROR(N27*P27*R27*0.034*$X$4),"-",N27*P27*R27*0.034*$X$4))</f>
        <v/>
      </c>
      <c r="Y27" s="190"/>
      <c r="Z27" s="190" t="str">
        <f>IF(N27="","",N27*P27*AN27)</f>
        <v/>
      </c>
      <c r="AA27" s="191"/>
      <c r="AN27" s="37" t="e">
        <f ca="1">IF(共通条件・結果!$AA$7="８地域",R27,IF(AO27="FALSE",R27,IF(T27="風除室",1/((1/R27)+0.1),0.5*R27+0.5*(1/((1/R27)+AO27)))))</f>
        <v>#DIV/0!</v>
      </c>
      <c r="AO27" s="39" t="b">
        <f>IF(T27="","FALSE",IF(T27="雨戸",0.1,IF(T27="ｼｬｯﾀｰ",0.1,IF(T27="障子",0.18,IF(T27="風除室",0.1)))))</f>
        <v>0</v>
      </c>
    </row>
    <row r="28" spans="2:41" s="37" customFormat="1" ht="21.95" customHeight="1" thickBot="1">
      <c r="C28" s="41"/>
      <c r="D28" s="41"/>
      <c r="E28" s="41"/>
      <c r="F28" s="41"/>
      <c r="G28" s="41"/>
      <c r="H28" s="41"/>
      <c r="I28" s="41"/>
      <c r="J28" s="197" t="s">
        <v>148</v>
      </c>
      <c r="K28" s="198"/>
      <c r="L28" s="198"/>
      <c r="M28" s="198"/>
      <c r="N28" s="198"/>
      <c r="O28" s="198"/>
      <c r="P28" s="198"/>
      <c r="Q28" s="198"/>
      <c r="R28" s="198"/>
      <c r="S28" s="198"/>
      <c r="T28" s="198"/>
      <c r="U28" s="231"/>
      <c r="V28" s="184">
        <f>SUM(V25:W27)</f>
        <v>5.2751462400000004E-2</v>
      </c>
      <c r="W28" s="184"/>
      <c r="X28" s="184">
        <f>SUM(X25:Y27)</f>
        <v>5.4740108800000006E-2</v>
      </c>
      <c r="Y28" s="184"/>
      <c r="Z28" s="184">
        <f>SUM(Z25:AA27)</f>
        <v>3.0784000000000002</v>
      </c>
      <c r="AA28" s="189"/>
      <c r="AO28" s="39"/>
    </row>
    <row r="29" spans="2:41" s="37" customFormat="1" ht="9.9499999999999993" customHeight="1">
      <c r="C29" s="41"/>
      <c r="D29" s="41"/>
      <c r="E29" s="41"/>
      <c r="F29" s="41"/>
      <c r="G29" s="41"/>
      <c r="H29" s="41"/>
      <c r="I29" s="41"/>
      <c r="J29" s="41"/>
      <c r="AO29" s="39"/>
    </row>
    <row r="30" spans="2:41" s="37" customFormat="1" ht="21.95" customHeight="1" thickBot="1">
      <c r="C30" s="41"/>
      <c r="D30" s="41"/>
      <c r="E30" s="41"/>
      <c r="F30" s="41"/>
      <c r="G30" s="41"/>
      <c r="H30" s="41"/>
      <c r="I30" s="41"/>
      <c r="J30" s="38" t="s">
        <v>17</v>
      </c>
      <c r="K30" s="38"/>
      <c r="L30" s="38"/>
      <c r="AO30" s="39"/>
    </row>
    <row r="31" spans="2:41" s="37" customFormat="1" ht="21.95" customHeight="1">
      <c r="C31" s="41"/>
      <c r="D31" s="41"/>
      <c r="E31" s="41"/>
      <c r="F31" s="41"/>
      <c r="G31" s="41"/>
      <c r="H31" s="41"/>
      <c r="I31" s="41"/>
      <c r="J31" s="255" t="s">
        <v>0</v>
      </c>
      <c r="K31" s="256"/>
      <c r="L31" s="249" t="s">
        <v>53</v>
      </c>
      <c r="M31" s="250"/>
      <c r="N31" s="249" t="s">
        <v>170</v>
      </c>
      <c r="O31" s="250"/>
      <c r="P31" s="234" t="s">
        <v>54</v>
      </c>
      <c r="Q31" s="235"/>
      <c r="R31" s="185" t="s">
        <v>7</v>
      </c>
      <c r="S31" s="185"/>
      <c r="T31" s="222" t="s">
        <v>150</v>
      </c>
      <c r="U31" s="223"/>
      <c r="V31" s="196" t="s">
        <v>68</v>
      </c>
      <c r="W31" s="185"/>
      <c r="X31" s="196" t="s">
        <v>67</v>
      </c>
      <c r="Y31" s="185"/>
      <c r="Z31" s="185" t="s">
        <v>13</v>
      </c>
      <c r="AA31" s="186"/>
      <c r="AO31" s="39"/>
    </row>
    <row r="32" spans="2:41" s="37" customFormat="1" ht="21.95" customHeight="1" thickBot="1">
      <c r="C32" s="41"/>
      <c r="D32" s="41"/>
      <c r="E32" s="41"/>
      <c r="F32" s="41"/>
      <c r="G32" s="41"/>
      <c r="H32" s="41"/>
      <c r="I32" s="41"/>
      <c r="J32" s="257"/>
      <c r="K32" s="258"/>
      <c r="L32" s="251"/>
      <c r="M32" s="252"/>
      <c r="N32" s="251"/>
      <c r="O32" s="252"/>
      <c r="P32" s="236"/>
      <c r="Q32" s="237"/>
      <c r="R32" s="187"/>
      <c r="S32" s="187"/>
      <c r="T32" s="224"/>
      <c r="U32" s="225"/>
      <c r="V32" s="187"/>
      <c r="W32" s="187"/>
      <c r="X32" s="187"/>
      <c r="Y32" s="187"/>
      <c r="Z32" s="187"/>
      <c r="AA32" s="188"/>
      <c r="AE32" s="37" t="s">
        <v>140</v>
      </c>
      <c r="AF32" s="37" t="s">
        <v>141</v>
      </c>
    </row>
    <row r="33" spans="2:32" s="37" customFormat="1" ht="21.95" customHeight="1">
      <c r="C33" s="41"/>
      <c r="D33" s="41"/>
      <c r="E33" s="41"/>
      <c r="F33" s="41"/>
      <c r="G33" s="41"/>
      <c r="H33" s="41"/>
      <c r="I33" s="41"/>
      <c r="J33" s="232" t="s">
        <v>243</v>
      </c>
      <c r="K33" s="233"/>
      <c r="L33" s="246">
        <v>44.608199999999997</v>
      </c>
      <c r="M33" s="247"/>
      <c r="N33" s="246"/>
      <c r="O33" s="247"/>
      <c r="P33" s="244">
        <f>IF(L33="","",L33-N33)</f>
        <v>44.608199999999997</v>
      </c>
      <c r="Q33" s="245"/>
      <c r="R33" s="226">
        <v>0.47799999999999998</v>
      </c>
      <c r="S33" s="226"/>
      <c r="T33" s="230"/>
      <c r="U33" s="230"/>
      <c r="V33" s="172">
        <f>IF(P33="","",IF(AD33=TRUE,0,P33*R33*0.034*$V$4))</f>
        <v>0.36538612306560003</v>
      </c>
      <c r="W33" s="172"/>
      <c r="X33" s="181">
        <f>IF(P33="","",IF(ISERROR(P33*R33*0.034*$X$4),"-",IF(AD33=TRUE,0,P33*R33*0.034*$X$4)))</f>
        <v>0.37916059992720003</v>
      </c>
      <c r="Y33" s="182"/>
      <c r="Z33" s="172">
        <f>IF(R33="","",IF(AD33=TRUE,0.7*R33*P33,R33*P33))</f>
        <v>21.322719599999999</v>
      </c>
      <c r="AA33" s="173"/>
      <c r="AD33" s="40" t="b">
        <v>0</v>
      </c>
      <c r="AE33" s="40">
        <f>IF(AD33=TRUE,0.7,1)</f>
        <v>1</v>
      </c>
      <c r="AF33" s="40" t="str">
        <f>IF(AD33=TRUE,0,"セル")</f>
        <v>セル</v>
      </c>
    </row>
    <row r="34" spans="2:32" s="37" customFormat="1" ht="21.95" customHeight="1">
      <c r="C34" s="41"/>
      <c r="D34" s="41"/>
      <c r="E34" s="41"/>
      <c r="F34" s="41"/>
      <c r="G34" s="41"/>
      <c r="H34" s="41"/>
      <c r="I34" s="41"/>
      <c r="J34" s="218" t="s">
        <v>241</v>
      </c>
      <c r="K34" s="220"/>
      <c r="L34" s="192">
        <v>3.7909999999999999</v>
      </c>
      <c r="M34" s="193"/>
      <c r="N34" s="192"/>
      <c r="O34" s="193"/>
      <c r="P34" s="242">
        <f>IF(L34="","",L34-N34)</f>
        <v>3.7909999999999999</v>
      </c>
      <c r="Q34" s="243"/>
      <c r="R34" s="192">
        <v>0.47799999999999998</v>
      </c>
      <c r="S34" s="193"/>
      <c r="T34" s="228"/>
      <c r="U34" s="229"/>
      <c r="V34" s="176">
        <f>IF(P34="","",IF(AD34=TRUE,0,P34*R34*0.034*$V$4))</f>
        <v>3.1052111328000002E-2</v>
      </c>
      <c r="W34" s="177"/>
      <c r="X34" s="176">
        <f>IF(P34="","",IF(ISERROR(P34*R34*0.034*$X$4),"-",IF(AD34=TRUE,0,P34*R34*0.034*$X$4)))</f>
        <v>3.2222726636000003E-2</v>
      </c>
      <c r="Y34" s="177"/>
      <c r="Z34" s="176">
        <f>IF(R34="","",IF(AD34=TRUE,0.7*R34*P34,R34*P34))</f>
        <v>1.812098</v>
      </c>
      <c r="AA34" s="178"/>
      <c r="AD34" s="40" t="b">
        <v>0</v>
      </c>
      <c r="AE34" s="40">
        <f>IF(AD34=TRUE,0.7,1)</f>
        <v>1</v>
      </c>
      <c r="AF34" s="40" t="str">
        <f>IF(AD34=TRUE,0,"セル")</f>
        <v>セル</v>
      </c>
    </row>
    <row r="35" spans="2:32" s="37" customFormat="1" ht="21.95" customHeight="1">
      <c r="C35" s="41"/>
      <c r="D35" s="41"/>
      <c r="E35" s="41"/>
      <c r="F35" s="41"/>
      <c r="G35" s="41"/>
      <c r="H35" s="41"/>
      <c r="I35" s="41"/>
      <c r="J35" s="218" t="s">
        <v>242</v>
      </c>
      <c r="K35" s="220"/>
      <c r="L35" s="192">
        <v>1.64</v>
      </c>
      <c r="M35" s="193"/>
      <c r="N35" s="192"/>
      <c r="O35" s="193"/>
      <c r="P35" s="242">
        <f>IF(L35="","",L35-N35)</f>
        <v>1.64</v>
      </c>
      <c r="Q35" s="243"/>
      <c r="R35" s="192">
        <v>0.47799999999999998</v>
      </c>
      <c r="S35" s="193"/>
      <c r="T35" s="228"/>
      <c r="U35" s="229"/>
      <c r="V35" s="176">
        <f>IF(P35="","",IF(AD35=TRUE,0,P35*R35*0.034*$V$4))</f>
        <v>1.343325312E-2</v>
      </c>
      <c r="W35" s="177"/>
      <c r="X35" s="176">
        <f>IF(P35="","",IF(ISERROR(P35*R35*0.034*$X$4),"-",IF(AD35=TRUE,0,P35*R35*0.034*$X$4)))</f>
        <v>1.3939665440000002E-2</v>
      </c>
      <c r="Y35" s="177"/>
      <c r="Z35" s="176">
        <f>IF(R35="","",IF(AD35=TRUE,0.7*R35*P35,R35*P35))</f>
        <v>0.78391999999999995</v>
      </c>
      <c r="AA35" s="178"/>
      <c r="AD35" s="40" t="b">
        <v>0</v>
      </c>
      <c r="AE35" s="40">
        <f>IF(AD35=TRUE,0.7,1)</f>
        <v>1</v>
      </c>
      <c r="AF35" s="40" t="str">
        <f>IF(AD35=TRUE,0,"セル")</f>
        <v>セル</v>
      </c>
    </row>
    <row r="36" spans="2:32" s="37" customFormat="1" ht="21.95" customHeight="1">
      <c r="C36" s="41"/>
      <c r="D36" s="41"/>
      <c r="E36" s="41"/>
      <c r="F36" s="41"/>
      <c r="G36" s="41"/>
      <c r="H36" s="41"/>
      <c r="I36" s="41"/>
      <c r="J36" s="218" t="s">
        <v>240</v>
      </c>
      <c r="K36" s="220"/>
      <c r="L36" s="192">
        <v>3.2759999999999998</v>
      </c>
      <c r="M36" s="193"/>
      <c r="N36" s="192"/>
      <c r="O36" s="193"/>
      <c r="P36" s="242">
        <f>IF(L36="","",L36-N36)</f>
        <v>3.2759999999999998</v>
      </c>
      <c r="Q36" s="243"/>
      <c r="R36" s="254">
        <v>0.46</v>
      </c>
      <c r="S36" s="254"/>
      <c r="T36" s="253"/>
      <c r="U36" s="253"/>
      <c r="V36" s="174">
        <f>IF(P36="","",IF(AD36=TRUE,0,P36*R36*0.034*$V$4))</f>
        <v>2.5823266560000002E-2</v>
      </c>
      <c r="W36" s="174"/>
      <c r="X36" s="176">
        <f>IF(P36="","",IF(ISERROR(P36*R36*0.034*$X$4),"-",IF(AD36=TRUE,0,P36*R36*0.034*$X$4)))</f>
        <v>2.6796762720000006E-2</v>
      </c>
      <c r="Y36" s="177"/>
      <c r="Z36" s="174">
        <f>IF(R36="","",IF(AD36=TRUE,0.7*R36*P36,R36*P36))</f>
        <v>1.5069600000000001</v>
      </c>
      <c r="AA36" s="175"/>
      <c r="AD36" s="40" t="b">
        <v>0</v>
      </c>
      <c r="AE36" s="40">
        <f>IF(AD36=TRUE,0.7,1)</f>
        <v>1</v>
      </c>
      <c r="AF36" s="40" t="str">
        <f>IF(AD36=TRUE,0,"セル")</f>
        <v>セル</v>
      </c>
    </row>
    <row r="37" spans="2:32" s="37" customFormat="1" ht="21.95" customHeight="1" thickBot="1">
      <c r="J37" s="209"/>
      <c r="K37" s="211"/>
      <c r="L37" s="269"/>
      <c r="M37" s="270"/>
      <c r="N37" s="269"/>
      <c r="O37" s="270"/>
      <c r="P37" s="271" t="str">
        <f>IF(L37="","",L37-N37)</f>
        <v/>
      </c>
      <c r="Q37" s="272"/>
      <c r="R37" s="267"/>
      <c r="S37" s="267"/>
      <c r="T37" s="290"/>
      <c r="U37" s="290"/>
      <c r="V37" s="203" t="str">
        <f>IF(P37="","",IF(AD37=TRUE,0,P37*R37*0.034*$V$4))</f>
        <v/>
      </c>
      <c r="W37" s="203"/>
      <c r="X37" s="286" t="str">
        <f>IF(P37="","",IF(ISERROR(P37*R37*0.034*$X$4),"-",IF(AD37=TRUE,0,P37*R37*0.034*$X$4)))</f>
        <v/>
      </c>
      <c r="Y37" s="287"/>
      <c r="Z37" s="203" t="str">
        <f>IF(R37="","",IF(AD37=TRUE,0.7*R37*P37,R37*P37))</f>
        <v/>
      </c>
      <c r="AA37" s="204"/>
      <c r="AD37" s="40" t="b">
        <v>0</v>
      </c>
      <c r="AE37" s="40">
        <f>IF(AD37=TRUE,0.7,1)</f>
        <v>1</v>
      </c>
      <c r="AF37" s="40" t="str">
        <f>IF(AD37=TRUE,0,"セル")</f>
        <v>セル</v>
      </c>
    </row>
    <row r="38" spans="2:32" s="37" customFormat="1" ht="21.95" customHeight="1" thickBot="1">
      <c r="J38" s="197" t="s">
        <v>133</v>
      </c>
      <c r="K38" s="198"/>
      <c r="L38" s="198"/>
      <c r="M38" s="198"/>
      <c r="N38" s="198"/>
      <c r="O38" s="198"/>
      <c r="P38" s="198"/>
      <c r="Q38" s="198"/>
      <c r="R38" s="198"/>
      <c r="S38" s="198"/>
      <c r="T38" s="198"/>
      <c r="U38" s="231"/>
      <c r="V38" s="184">
        <f>SUM(V33:W37)</f>
        <v>0.43569475407360003</v>
      </c>
      <c r="W38" s="184"/>
      <c r="X38" s="184">
        <f>SUM(X33:Y37)</f>
        <v>0.4521197547232001</v>
      </c>
      <c r="Y38" s="184"/>
      <c r="Z38" s="184">
        <f>SUM(Z33:AA37)</f>
        <v>25.425697599999996</v>
      </c>
      <c r="AA38" s="189"/>
    </row>
    <row r="39" spans="2:32" s="37" customFormat="1" ht="9.9499999999999993" customHeight="1"/>
    <row r="40" spans="2:32" s="37" customFormat="1" ht="21.95" customHeight="1" thickBot="1">
      <c r="B40" s="38" t="s">
        <v>134</v>
      </c>
    </row>
    <row r="41" spans="2:32" s="37" customFormat="1" ht="21.95" customHeight="1">
      <c r="B41" s="280" t="s">
        <v>107</v>
      </c>
      <c r="C41" s="281"/>
      <c r="D41" s="273" t="s">
        <v>56</v>
      </c>
      <c r="E41" s="274"/>
      <c r="F41" s="274"/>
      <c r="G41" s="274"/>
      <c r="H41" s="274"/>
      <c r="I41" s="274"/>
      <c r="J41" s="275"/>
      <c r="K41" s="42"/>
      <c r="L41" s="276">
        <f>Q41+U41+Y41</f>
        <v>62.102199999999989</v>
      </c>
      <c r="M41" s="276"/>
      <c r="N41" s="276"/>
      <c r="O41" s="42" t="s">
        <v>24</v>
      </c>
      <c r="P41" s="43" t="s">
        <v>23</v>
      </c>
      <c r="Q41" s="288">
        <f>D8*F8+D9*F9+D10*F10+D11*F11+D12*F12+D13*F13+D14*F14+D15*F15+D16*F16+D17*F17+D18*F18+D19*F19</f>
        <v>7.3070000000000004</v>
      </c>
      <c r="R41" s="288"/>
      <c r="S41" s="44" t="s">
        <v>25</v>
      </c>
      <c r="T41" s="44" t="s">
        <v>22</v>
      </c>
      <c r="U41" s="289">
        <f>N25*P25+N26*P26+N27*P27</f>
        <v>1.48</v>
      </c>
      <c r="V41" s="289"/>
      <c r="W41" s="44" t="s">
        <v>25</v>
      </c>
      <c r="X41" s="44" t="s">
        <v>1</v>
      </c>
      <c r="Y41" s="268">
        <f>SUM(P33:Q37)</f>
        <v>53.31519999999999</v>
      </c>
      <c r="Z41" s="268"/>
      <c r="AA41" s="45" t="s">
        <v>19</v>
      </c>
    </row>
    <row r="42" spans="2:32" s="37" customFormat="1" ht="21.95" customHeight="1">
      <c r="B42" s="282"/>
      <c r="C42" s="283"/>
      <c r="D42" s="264" t="s">
        <v>72</v>
      </c>
      <c r="E42" s="265"/>
      <c r="F42" s="265"/>
      <c r="G42" s="265"/>
      <c r="H42" s="265"/>
      <c r="I42" s="265"/>
      <c r="J42" s="266"/>
      <c r="K42" s="46"/>
      <c r="L42" s="46"/>
      <c r="M42" s="46"/>
      <c r="N42" s="46"/>
      <c r="O42" s="46"/>
      <c r="P42" s="46"/>
      <c r="Q42" s="46"/>
      <c r="R42" s="46"/>
      <c r="S42" s="46"/>
      <c r="T42" s="46"/>
      <c r="U42" s="46"/>
      <c r="V42" s="46"/>
      <c r="W42" s="277">
        <f>V20+V28+V38</f>
        <v>1.5844260692736003</v>
      </c>
      <c r="X42" s="277"/>
      <c r="Y42" s="277"/>
      <c r="Z42" s="46"/>
      <c r="AA42" s="47"/>
    </row>
    <row r="43" spans="2:32" s="37" customFormat="1" ht="21.95" customHeight="1">
      <c r="B43" s="282"/>
      <c r="C43" s="283"/>
      <c r="D43" s="264" t="s">
        <v>73</v>
      </c>
      <c r="E43" s="265"/>
      <c r="F43" s="265"/>
      <c r="G43" s="265"/>
      <c r="H43" s="265"/>
      <c r="I43" s="265"/>
      <c r="J43" s="266"/>
      <c r="K43" s="46"/>
      <c r="L43" s="46"/>
      <c r="M43" s="46"/>
      <c r="N43" s="46"/>
      <c r="O43" s="46"/>
      <c r="P43" s="46"/>
      <c r="Q43" s="46"/>
      <c r="R43" s="46"/>
      <c r="S43" s="46"/>
      <c r="T43" s="46"/>
      <c r="U43" s="46"/>
      <c r="V43" s="46"/>
      <c r="W43" s="277">
        <f>X20+X28+X38</f>
        <v>1.1305386187232003</v>
      </c>
      <c r="X43" s="277"/>
      <c r="Y43" s="277"/>
      <c r="Z43" s="46"/>
      <c r="AA43" s="47"/>
    </row>
    <row r="44" spans="2:32" s="37" customFormat="1" ht="21.95" customHeight="1" thickBot="1">
      <c r="B44" s="284"/>
      <c r="C44" s="285"/>
      <c r="D44" s="291" t="s">
        <v>20</v>
      </c>
      <c r="E44" s="292"/>
      <c r="F44" s="292"/>
      <c r="G44" s="292"/>
      <c r="H44" s="292"/>
      <c r="I44" s="292"/>
      <c r="J44" s="293"/>
      <c r="K44" s="48"/>
      <c r="L44" s="48"/>
      <c r="M44" s="48"/>
      <c r="N44" s="48"/>
      <c r="O44" s="48"/>
      <c r="P44" s="48"/>
      <c r="Q44" s="48"/>
      <c r="R44" s="48"/>
      <c r="S44" s="48"/>
      <c r="T44" s="48"/>
      <c r="U44" s="48"/>
      <c r="V44" s="48"/>
      <c r="W44" s="294">
        <f>Z20+Z28+Z38</f>
        <v>40.293655719658119</v>
      </c>
      <c r="X44" s="294"/>
      <c r="Y44" s="294"/>
      <c r="Z44" s="49" t="s">
        <v>21</v>
      </c>
      <c r="AA44" s="50"/>
    </row>
    <row r="45" spans="2:32" s="37" customFormat="1" ht="21.95" customHeight="1"/>
    <row r="46" spans="2:32" s="37" customFormat="1" ht="21.95" customHeight="1"/>
    <row r="47" spans="2:32" s="37" customFormat="1" ht="21.95" customHeight="1"/>
    <row r="48" spans="2:32" s="37" customFormat="1" ht="21.95" customHeight="1"/>
    <row r="49" s="37" customFormat="1" ht="21.95" customHeight="1"/>
    <row r="50" s="37" customFormat="1" ht="21.95" customHeight="1"/>
    <row r="51" s="37" customFormat="1" ht="21.95" customHeight="1"/>
    <row r="52" s="37" customFormat="1" ht="21.95" customHeight="1"/>
    <row r="53" s="37" customFormat="1" ht="21.95" customHeight="1"/>
    <row r="54" s="37" customFormat="1" ht="21.95" customHeight="1"/>
    <row r="55" s="37" customFormat="1" ht="21.95" customHeight="1"/>
    <row r="56" s="37" customFormat="1" ht="21.95" customHeight="1"/>
    <row r="57" s="37" customFormat="1" ht="21.95" customHeight="1"/>
    <row r="58" s="37" customFormat="1" ht="21.95" customHeight="1"/>
    <row r="59" s="37" customFormat="1" ht="21.95" customHeight="1"/>
    <row r="60" s="37" customFormat="1" ht="21.95" customHeight="1"/>
    <row r="61" s="37" customFormat="1" ht="24.95" customHeight="1"/>
    <row r="62" s="37" customFormat="1" ht="24.95" customHeight="1"/>
    <row r="63" s="37" customFormat="1" ht="24.95" customHeight="1"/>
    <row r="64" s="37" customFormat="1" ht="24.95" customHeight="1"/>
    <row r="65" s="37" customFormat="1" ht="24.95" customHeight="1"/>
    <row r="66" s="37" customFormat="1" ht="24.95" customHeight="1"/>
    <row r="67" s="37" customFormat="1" ht="24.95" customHeight="1"/>
    <row r="68" s="37" customFormat="1" ht="24.95" customHeight="1"/>
    <row r="69" s="37" customFormat="1" ht="24.95" customHeight="1"/>
    <row r="70" s="37" customFormat="1" ht="24.95" customHeight="1"/>
    <row r="71" s="37" customFormat="1" ht="24.95" customHeight="1"/>
    <row r="72" s="37" customFormat="1" ht="24.95" customHeight="1"/>
    <row r="73" s="37" customFormat="1" ht="24.95" customHeight="1"/>
    <row r="74" s="37" customFormat="1" ht="24.95" customHeight="1"/>
    <row r="75" s="37" customFormat="1" ht="24.95" customHeight="1"/>
    <row r="76" s="37" customFormat="1" ht="24.95" customHeight="1"/>
    <row r="77" s="37" customFormat="1" ht="24.95" customHeight="1"/>
    <row r="78" s="37" customFormat="1" ht="24.95" customHeight="1"/>
    <row r="79" s="37" customFormat="1" ht="24.95" customHeight="1"/>
    <row r="80" s="37" customFormat="1" ht="24.95" customHeight="1"/>
    <row r="81" s="37" customFormat="1" ht="24.95" customHeight="1"/>
    <row r="82" s="37" customFormat="1" ht="24.95" customHeight="1"/>
    <row r="83" s="37" customFormat="1" ht="24.95" customHeight="1"/>
    <row r="84" s="37" customFormat="1" ht="24.95" customHeight="1"/>
    <row r="85" s="37" customFormat="1" ht="24.95" customHeight="1"/>
    <row r="86" s="37" customFormat="1" ht="24.95" customHeight="1"/>
    <row r="87" s="37" customFormat="1" ht="24.95" customHeight="1"/>
    <row r="88" s="37" customFormat="1" ht="24.95" customHeight="1"/>
    <row r="89" s="37" customFormat="1" ht="24.95" customHeight="1"/>
    <row r="90" s="37" customFormat="1" ht="24.95" customHeight="1"/>
    <row r="91" s="37" customFormat="1" ht="24.95" customHeight="1"/>
    <row r="92" s="37" customFormat="1" ht="24.95" customHeight="1"/>
    <row r="93" s="37" customFormat="1" ht="24.95" customHeight="1"/>
    <row r="94" s="51" customFormat="1" ht="24.95" customHeight="1"/>
    <row r="95" s="51" customFormat="1"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sheetProtection sheet="1" objects="1" scenarios="1" selectLockedCells="1"/>
  <mergeCells count="293">
    <mergeCell ref="B41:C44"/>
    <mergeCell ref="D41:J41"/>
    <mergeCell ref="L41:N41"/>
    <mergeCell ref="J38:U38"/>
    <mergeCell ref="D44:J44"/>
    <mergeCell ref="D43:J43"/>
    <mergeCell ref="P35:Q35"/>
    <mergeCell ref="N35:O35"/>
    <mergeCell ref="P37:Q37"/>
    <mergeCell ref="V37:W37"/>
    <mergeCell ref="P36:Q36"/>
    <mergeCell ref="N36:O36"/>
    <mergeCell ref="V36:W36"/>
    <mergeCell ref="J37:K37"/>
    <mergeCell ref="J35:K35"/>
    <mergeCell ref="L36:M36"/>
    <mergeCell ref="D42:J42"/>
    <mergeCell ref="L37:M37"/>
    <mergeCell ref="J36:K36"/>
    <mergeCell ref="L35:M35"/>
    <mergeCell ref="V33:W33"/>
    <mergeCell ref="X34:Y34"/>
    <mergeCell ref="P33:Q33"/>
    <mergeCell ref="T33:U33"/>
    <mergeCell ref="R33:S33"/>
    <mergeCell ref="L33:M33"/>
    <mergeCell ref="N33:O33"/>
    <mergeCell ref="W44:Y44"/>
    <mergeCell ref="W43:Y43"/>
    <mergeCell ref="Q41:R41"/>
    <mergeCell ref="Y41:Z41"/>
    <mergeCell ref="U41:V41"/>
    <mergeCell ref="R35:S35"/>
    <mergeCell ref="Z36:AA36"/>
    <mergeCell ref="W42:Y42"/>
    <mergeCell ref="V38:W38"/>
    <mergeCell ref="R37:S37"/>
    <mergeCell ref="Z33:AA33"/>
    <mergeCell ref="Z34:AA34"/>
    <mergeCell ref="R36:S36"/>
    <mergeCell ref="X35:Y35"/>
    <mergeCell ref="J34:K34"/>
    <mergeCell ref="L34:M34"/>
    <mergeCell ref="P34:Q34"/>
    <mergeCell ref="V34:W34"/>
    <mergeCell ref="N34:O34"/>
    <mergeCell ref="R34:S34"/>
    <mergeCell ref="T36:U36"/>
    <mergeCell ref="Z37:AA37"/>
    <mergeCell ref="X37:Y37"/>
    <mergeCell ref="X36:Y36"/>
    <mergeCell ref="L31:M32"/>
    <mergeCell ref="Z38:AA38"/>
    <mergeCell ref="X38:Y38"/>
    <mergeCell ref="Z35:AA35"/>
    <mergeCell ref="N37:O37"/>
    <mergeCell ref="T37:U37"/>
    <mergeCell ref="J31:K32"/>
    <mergeCell ref="N31:O32"/>
    <mergeCell ref="P31:Q32"/>
    <mergeCell ref="T31:U32"/>
    <mergeCell ref="X28:Y28"/>
    <mergeCell ref="V35:W35"/>
    <mergeCell ref="T35:U35"/>
    <mergeCell ref="T34:U34"/>
    <mergeCell ref="J33:K33"/>
    <mergeCell ref="X33:Y33"/>
    <mergeCell ref="P27:Q27"/>
    <mergeCell ref="R27:S27"/>
    <mergeCell ref="P24:Q24"/>
    <mergeCell ref="N25:O25"/>
    <mergeCell ref="Z28:AA28"/>
    <mergeCell ref="R31:S32"/>
    <mergeCell ref="Z31:AA32"/>
    <mergeCell ref="X27:Y27"/>
    <mergeCell ref="V28:W28"/>
    <mergeCell ref="V31:W32"/>
    <mergeCell ref="X31:Y32"/>
    <mergeCell ref="N23:Q23"/>
    <mergeCell ref="N24:O24"/>
    <mergeCell ref="N26:O26"/>
    <mergeCell ref="J28:U28"/>
    <mergeCell ref="J27:M27"/>
    <mergeCell ref="N27:O27"/>
    <mergeCell ref="T17:U17"/>
    <mergeCell ref="Z18:AA18"/>
    <mergeCell ref="V18:W18"/>
    <mergeCell ref="T18:U18"/>
    <mergeCell ref="T19:U19"/>
    <mergeCell ref="L18:M18"/>
    <mergeCell ref="V19:W19"/>
    <mergeCell ref="R18:S18"/>
    <mergeCell ref="P18:Q18"/>
    <mergeCell ref="L19:M19"/>
    <mergeCell ref="N17:O17"/>
    <mergeCell ref="X18:Y18"/>
    <mergeCell ref="N18:O18"/>
    <mergeCell ref="AN23:AO23"/>
    <mergeCell ref="R19:S19"/>
    <mergeCell ref="Z23:AA24"/>
    <mergeCell ref="P17:Q17"/>
    <mergeCell ref="R17:S17"/>
    <mergeCell ref="Z17:AA17"/>
    <mergeCell ref="V17:W17"/>
    <mergeCell ref="Z19:AA19"/>
    <mergeCell ref="V20:W20"/>
    <mergeCell ref="X20:Y20"/>
    <mergeCell ref="V23:W24"/>
    <mergeCell ref="X19:Y19"/>
    <mergeCell ref="N19:O19"/>
    <mergeCell ref="P19:Q19"/>
    <mergeCell ref="AN21:AO21"/>
    <mergeCell ref="X17:Y17"/>
    <mergeCell ref="Z26:AA26"/>
    <mergeCell ref="T27:U27"/>
    <mergeCell ref="Z20:AA20"/>
    <mergeCell ref="B20:U20"/>
    <mergeCell ref="X23:Y24"/>
    <mergeCell ref="R25:S25"/>
    <mergeCell ref="T25:U25"/>
    <mergeCell ref="J23:M24"/>
    <mergeCell ref="V27:W27"/>
    <mergeCell ref="T23:U24"/>
    <mergeCell ref="J25:M25"/>
    <mergeCell ref="P25:Q25"/>
    <mergeCell ref="Z27:AA27"/>
    <mergeCell ref="Z25:AA25"/>
    <mergeCell ref="R26:S26"/>
    <mergeCell ref="T26:U26"/>
    <mergeCell ref="J26:M26"/>
    <mergeCell ref="P26:Q26"/>
    <mergeCell ref="P16:Q16"/>
    <mergeCell ref="V16:W16"/>
    <mergeCell ref="T15:U15"/>
    <mergeCell ref="N15:O15"/>
    <mergeCell ref="V26:W26"/>
    <mergeCell ref="X26:Y26"/>
    <mergeCell ref="V25:W25"/>
    <mergeCell ref="X25:Y25"/>
    <mergeCell ref="X15:Y15"/>
    <mergeCell ref="X16:Y16"/>
    <mergeCell ref="L15:M15"/>
    <mergeCell ref="L14:M14"/>
    <mergeCell ref="N13:O13"/>
    <mergeCell ref="V14:W14"/>
    <mergeCell ref="P15:Q15"/>
    <mergeCell ref="R23:S24"/>
    <mergeCell ref="N16:O16"/>
    <mergeCell ref="R14:S14"/>
    <mergeCell ref="V15:W15"/>
    <mergeCell ref="R15:S15"/>
    <mergeCell ref="P14:Q14"/>
    <mergeCell ref="P13:Q13"/>
    <mergeCell ref="X14:Y14"/>
    <mergeCell ref="Z14:AA14"/>
    <mergeCell ref="Z13:AA13"/>
    <mergeCell ref="T13:U13"/>
    <mergeCell ref="R11:S11"/>
    <mergeCell ref="R12:S12"/>
    <mergeCell ref="T11:U11"/>
    <mergeCell ref="L11:M11"/>
    <mergeCell ref="N14:O14"/>
    <mergeCell ref="P12:Q12"/>
    <mergeCell ref="L13:M13"/>
    <mergeCell ref="N12:O12"/>
    <mergeCell ref="N11:O11"/>
    <mergeCell ref="P11:Q11"/>
    <mergeCell ref="R16:S16"/>
    <mergeCell ref="Z12:AA12"/>
    <mergeCell ref="V13:W13"/>
    <mergeCell ref="T12:U12"/>
    <mergeCell ref="T14:U14"/>
    <mergeCell ref="R13:S13"/>
    <mergeCell ref="T16:U16"/>
    <mergeCell ref="Z16:AA16"/>
    <mergeCell ref="Z15:AA15"/>
    <mergeCell ref="V12:W12"/>
    <mergeCell ref="X11:Y11"/>
    <mergeCell ref="Z11:AA11"/>
    <mergeCell ref="V11:W11"/>
    <mergeCell ref="X12:Y12"/>
    <mergeCell ref="X13:Y13"/>
    <mergeCell ref="B2:AA2"/>
    <mergeCell ref="R4:U4"/>
    <mergeCell ref="V4:W4"/>
    <mergeCell ref="X4:Y4"/>
    <mergeCell ref="V5:W7"/>
    <mergeCell ref="N5:U5"/>
    <mergeCell ref="B5:C7"/>
    <mergeCell ref="D5:G5"/>
    <mergeCell ref="T7:U7"/>
    <mergeCell ref="H8:I8"/>
    <mergeCell ref="J8:K8"/>
    <mergeCell ref="F6:G7"/>
    <mergeCell ref="D8:E8"/>
    <mergeCell ref="F8:G8"/>
    <mergeCell ref="H5:I7"/>
    <mergeCell ref="J5:K7"/>
    <mergeCell ref="D6:E7"/>
    <mergeCell ref="P10:Q10"/>
    <mergeCell ref="V8:W8"/>
    <mergeCell ref="X8:Y8"/>
    <mergeCell ref="P9:Q9"/>
    <mergeCell ref="R9:S9"/>
    <mergeCell ref="R10:S10"/>
    <mergeCell ref="T9:U9"/>
    <mergeCell ref="V10:W10"/>
    <mergeCell ref="X10:Y10"/>
    <mergeCell ref="T8:U8"/>
    <mergeCell ref="V9:W9"/>
    <mergeCell ref="X9:Y9"/>
    <mergeCell ref="T10:U10"/>
    <mergeCell ref="Z8:AA8"/>
    <mergeCell ref="R8:S8"/>
    <mergeCell ref="Z9:AA9"/>
    <mergeCell ref="Z10:AA10"/>
    <mergeCell ref="L9:M9"/>
    <mergeCell ref="L10:M10"/>
    <mergeCell ref="L12:M12"/>
    <mergeCell ref="H9:I9"/>
    <mergeCell ref="H11:I11"/>
    <mergeCell ref="J9:K9"/>
    <mergeCell ref="J11:K11"/>
    <mergeCell ref="J10:K10"/>
    <mergeCell ref="J12:K12"/>
    <mergeCell ref="N10:O10"/>
    <mergeCell ref="N8:O8"/>
    <mergeCell ref="N9:O9"/>
    <mergeCell ref="L8:M8"/>
    <mergeCell ref="AN6:AO6"/>
    <mergeCell ref="X5:Y7"/>
    <mergeCell ref="Z5:AA7"/>
    <mergeCell ref="AH6:AI6"/>
    <mergeCell ref="AK6:AL6"/>
    <mergeCell ref="AD6:AE6"/>
    <mergeCell ref="D17:E17"/>
    <mergeCell ref="F17:G17"/>
    <mergeCell ref="B16:C16"/>
    <mergeCell ref="F16:G16"/>
    <mergeCell ref="P8:Q8"/>
    <mergeCell ref="L5:M7"/>
    <mergeCell ref="P6:U6"/>
    <mergeCell ref="N6:O7"/>
    <mergeCell ref="P7:Q7"/>
    <mergeCell ref="R7:S7"/>
    <mergeCell ref="B8:C8"/>
    <mergeCell ref="B12:C12"/>
    <mergeCell ref="D13:E13"/>
    <mergeCell ref="H13:I13"/>
    <mergeCell ref="B9:C9"/>
    <mergeCell ref="B11:C11"/>
    <mergeCell ref="D9:E9"/>
    <mergeCell ref="F11:G11"/>
    <mergeCell ref="H10:I10"/>
    <mergeCell ref="D12:E12"/>
    <mergeCell ref="B10:C10"/>
    <mergeCell ref="D10:E10"/>
    <mergeCell ref="F9:G9"/>
    <mergeCell ref="H12:I12"/>
    <mergeCell ref="F15:G15"/>
    <mergeCell ref="H15:I15"/>
    <mergeCell ref="F12:G12"/>
    <mergeCell ref="F10:G10"/>
    <mergeCell ref="D11:E11"/>
    <mergeCell ref="B19:C19"/>
    <mergeCell ref="B18:C18"/>
    <mergeCell ref="B13:C13"/>
    <mergeCell ref="F13:G13"/>
    <mergeCell ref="B14:C14"/>
    <mergeCell ref="D14:E14"/>
    <mergeCell ref="F14:G14"/>
    <mergeCell ref="B15:C15"/>
    <mergeCell ref="D15:E15"/>
    <mergeCell ref="B17:C17"/>
    <mergeCell ref="J13:K13"/>
    <mergeCell ref="J15:K15"/>
    <mergeCell ref="J19:K19"/>
    <mergeCell ref="J18:K18"/>
    <mergeCell ref="H17:I17"/>
    <mergeCell ref="J16:K16"/>
    <mergeCell ref="H16:I16"/>
    <mergeCell ref="H14:I14"/>
    <mergeCell ref="J14:K14"/>
    <mergeCell ref="L16:M16"/>
    <mergeCell ref="L17:M17"/>
    <mergeCell ref="J17:K17"/>
    <mergeCell ref="D19:E19"/>
    <mergeCell ref="F19:G19"/>
    <mergeCell ref="D16:E16"/>
    <mergeCell ref="H19:I19"/>
    <mergeCell ref="D18:E18"/>
    <mergeCell ref="H18:I18"/>
    <mergeCell ref="F18:G18"/>
  </mergeCells>
  <phoneticPr fontId="2"/>
  <conditionalFormatting sqref="V20:W20">
    <cfRule type="expression" dxfId="75" priority="52" stopIfTrue="1">
      <formula>$V$20=0</formula>
    </cfRule>
  </conditionalFormatting>
  <conditionalFormatting sqref="X20:Y20">
    <cfRule type="expression" dxfId="74" priority="51" stopIfTrue="1">
      <formula>$X$20=0</formula>
    </cfRule>
  </conditionalFormatting>
  <conditionalFormatting sqref="Z20:AA20">
    <cfRule type="expression" dxfId="73" priority="50" stopIfTrue="1">
      <formula>$Z$20=0</formula>
    </cfRule>
  </conditionalFormatting>
  <conditionalFormatting sqref="V28:W28">
    <cfRule type="expression" dxfId="72" priority="49" stopIfTrue="1">
      <formula>$V$28:$W$28=0</formula>
    </cfRule>
  </conditionalFormatting>
  <conditionalFormatting sqref="V38:W38">
    <cfRule type="expression" dxfId="71" priority="48" stopIfTrue="1">
      <formula>$V$38:$W$38=0</formula>
    </cfRule>
  </conditionalFormatting>
  <conditionalFormatting sqref="Y41:Z41">
    <cfRule type="expression" dxfId="70" priority="47" stopIfTrue="1">
      <formula>$Y$41=0</formula>
    </cfRule>
  </conditionalFormatting>
  <conditionalFormatting sqref="Q41:R41">
    <cfRule type="expression" dxfId="69" priority="46" stopIfTrue="1">
      <formula>$Q$41=0</formula>
    </cfRule>
  </conditionalFormatting>
  <conditionalFormatting sqref="U41:V41">
    <cfRule type="expression" dxfId="68" priority="45" stopIfTrue="1">
      <formula>$U$41=0</formula>
    </cfRule>
  </conditionalFormatting>
  <conditionalFormatting sqref="L41:N41">
    <cfRule type="expression" dxfId="67" priority="44" stopIfTrue="1">
      <formula>$L$41=0</formula>
    </cfRule>
  </conditionalFormatting>
  <conditionalFormatting sqref="X8:Y8">
    <cfRule type="expression" dxfId="66" priority="42" stopIfTrue="1">
      <formula>#VALUE!</formula>
    </cfRule>
    <cfRule type="expression" dxfId="65" priority="43" stopIfTrue="1">
      <formula>#VALUE!</formula>
    </cfRule>
  </conditionalFormatting>
  <conditionalFormatting sqref="X19:Y19">
    <cfRule type="expression" dxfId="64" priority="41" stopIfTrue="1">
      <formula>#VALUE!</formula>
    </cfRule>
  </conditionalFormatting>
  <conditionalFormatting sqref="X8:Y8">
    <cfRule type="expression" dxfId="63" priority="29" stopIfTrue="1">
      <formula>#VALUE!</formula>
    </cfRule>
    <cfRule type="expression" dxfId="62" priority="30" stopIfTrue="1">
      <formula>#VALUE!</formula>
    </cfRule>
  </conditionalFormatting>
  <conditionalFormatting sqref="X19:Y19">
    <cfRule type="expression" dxfId="61" priority="28" stopIfTrue="1">
      <formula>#VALUE!</formula>
    </cfRule>
  </conditionalFormatting>
  <conditionalFormatting sqref="X28:Y28">
    <cfRule type="expression" dxfId="60" priority="27" stopIfTrue="1">
      <formula>$X$28:$Y$28=0</formula>
    </cfRule>
  </conditionalFormatting>
  <conditionalFormatting sqref="Z28:AA28">
    <cfRule type="expression" dxfId="59" priority="26" stopIfTrue="1">
      <formula>$Z$28:$AA$28=0</formula>
    </cfRule>
  </conditionalFormatting>
  <conditionalFormatting sqref="X38:Y38">
    <cfRule type="expression" dxfId="58" priority="25" stopIfTrue="1">
      <formula>$X$38:$Y$38=0</formula>
    </cfRule>
  </conditionalFormatting>
  <conditionalFormatting sqref="Z38:AA38">
    <cfRule type="expression" dxfId="57" priority="24" stopIfTrue="1">
      <formula>$Z$38:$AA$38=0</formula>
    </cfRule>
  </conditionalFormatting>
  <conditionalFormatting sqref="P8:U8">
    <cfRule type="expression" dxfId="56" priority="13" stopIfTrue="1">
      <formula>$AG$8=TRUE</formula>
    </cfRule>
  </conditionalFormatting>
  <conditionalFormatting sqref="P15:U15">
    <cfRule type="expression" dxfId="55" priority="12" stopIfTrue="1">
      <formula>$AG$15=TRUE</formula>
    </cfRule>
  </conditionalFormatting>
  <conditionalFormatting sqref="P16:U16">
    <cfRule type="expression" dxfId="54" priority="11" stopIfTrue="1">
      <formula>$AG$16=TRUE</formula>
    </cfRule>
  </conditionalFormatting>
  <conditionalFormatting sqref="P17:U17">
    <cfRule type="expression" dxfId="53" priority="10" stopIfTrue="1">
      <formula>$AG$17=TRUE</formula>
    </cfRule>
  </conditionalFormatting>
  <conditionalFormatting sqref="P18:U18">
    <cfRule type="expression" dxfId="52" priority="9" stopIfTrue="1">
      <formula>$AG$18=TRUE</formula>
    </cfRule>
  </conditionalFormatting>
  <conditionalFormatting sqref="P19:U19">
    <cfRule type="expression" dxfId="51" priority="8" stopIfTrue="1">
      <formula>$AG$19=TRUE</formula>
    </cfRule>
  </conditionalFormatting>
  <conditionalFormatting sqref="P10:U10">
    <cfRule type="expression" dxfId="50" priority="7" stopIfTrue="1">
      <formula>$AG$10=TRUE</formula>
    </cfRule>
  </conditionalFormatting>
  <conditionalFormatting sqref="P14:U14">
    <cfRule type="expression" dxfId="49" priority="5" stopIfTrue="1">
      <formula>$AG$14=TRUE</formula>
    </cfRule>
  </conditionalFormatting>
  <conditionalFormatting sqref="P9:U9">
    <cfRule type="expression" dxfId="48" priority="4" stopIfTrue="1">
      <formula>$AG$9=TRUE</formula>
    </cfRule>
  </conditionalFormatting>
  <conditionalFormatting sqref="P12:U12">
    <cfRule type="expression" dxfId="47" priority="3">
      <formula>$AG$12=TRUE</formula>
    </cfRule>
  </conditionalFormatting>
  <conditionalFormatting sqref="P13:U13">
    <cfRule type="expression" dxfId="46" priority="2">
      <formula>$AG$13=TRUE</formula>
    </cfRule>
  </conditionalFormatting>
  <conditionalFormatting sqref="P11:U11">
    <cfRule type="expression" dxfId="45" priority="1">
      <formula>$AG$11=TRUE</formula>
    </cfRule>
  </conditionalFormatting>
  <dataValidations count="1">
    <dataValidation type="list" allowBlank="1" showInputMessage="1" showErrorMessage="1" sqref="M8:M11 L8:L19 M14:M19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8" orientation="portrait" horizontalDpi="300" verticalDpi="300" r:id="rId1"/>
  <headerFooter>
    <oddHeader>&amp;Rver. 1.8[H28]</oddHeader>
    <oddFooter>&amp;Cⓒ　2013 hyoukakyoukai.All right reserved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vt: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vector>
  </TitlesOfParts>
  <Company>評価センター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卓三</dc:creator>
  <cp:lastModifiedBy>architrick</cp:lastModifiedBy>
  <cp:lastPrinted>2020-12-30T00:27:24Z</cp:lastPrinted>
  <dcterms:created xsi:type="dcterms:W3CDTF">2001-06-12T05:58:42Z</dcterms:created>
  <dcterms:modified xsi:type="dcterms:W3CDTF">2020-12-30T03:45:38Z</dcterms:modified>
</cp:coreProperties>
</file>